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k\Dropbox\Personal-Rick\Cycling\Tours\"/>
    </mc:Choice>
  </mc:AlternateContent>
  <xr:revisionPtr revIDLastSave="0" documentId="13_ncr:1_{8806C684-7290-4364-B8CE-2B3AB9FEA78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UMMARY" sheetId="8" r:id="rId1"/>
    <sheet name="2012 - N2G" sheetId="1" r:id="rId2"/>
    <sheet name="2013-Raid" sheetId="2" r:id="rId3"/>
    <sheet name="2014 - Dolomiti" sheetId="3" r:id="rId4"/>
    <sheet name="2015-ToGC" sheetId="4" r:id="rId5"/>
    <sheet name="2016- G2R" sheetId="5" r:id="rId6"/>
    <sheet name="2017- Mal &amp; Corsica " sheetId="6" r:id="rId7"/>
    <sheet name="2019- ToC" sheetId="7" r:id="rId8"/>
    <sheet name="2021" sheetId="9" r:id="rId9"/>
    <sheet name="2022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8" l="1"/>
  <c r="I14" i="10"/>
  <c r="H14" i="10"/>
  <c r="I17" i="10"/>
  <c r="Q11" i="8"/>
  <c r="S11" i="8" s="1"/>
  <c r="R11" i="8"/>
  <c r="K11" i="8"/>
  <c r="L11" i="8"/>
  <c r="I18" i="10"/>
  <c r="I13" i="10"/>
  <c r="H13" i="10"/>
  <c r="P4" i="8"/>
  <c r="P5" i="8"/>
  <c r="P6" i="8"/>
  <c r="P7" i="8"/>
  <c r="P8" i="8"/>
  <c r="P9" i="8"/>
  <c r="P10" i="8"/>
  <c r="O4" i="8"/>
  <c r="O5" i="8"/>
  <c r="O6" i="8"/>
  <c r="O7" i="8"/>
  <c r="O8" i="8"/>
  <c r="O9" i="8"/>
  <c r="O10" i="8"/>
  <c r="J11" i="8"/>
  <c r="I11" i="8"/>
  <c r="N11" i="8" s="1"/>
  <c r="H11" i="8"/>
  <c r="M11" i="8" s="1"/>
  <c r="O11" i="8" s="1"/>
  <c r="G11" i="8"/>
  <c r="H24" i="10"/>
  <c r="G24" i="10"/>
  <c r="F24" i="10"/>
  <c r="E24" i="10"/>
  <c r="D24" i="10"/>
  <c r="C24" i="10"/>
  <c r="B24" i="10"/>
  <c r="A24" i="10"/>
  <c r="G9" i="10"/>
  <c r="G13" i="10" s="1"/>
  <c r="G14" i="10" s="1"/>
  <c r="F9" i="10"/>
  <c r="F13" i="10" s="1"/>
  <c r="F14" i="10" s="1"/>
  <c r="G4" i="8"/>
  <c r="G5" i="8"/>
  <c r="G6" i="8"/>
  <c r="G7" i="8"/>
  <c r="G9" i="8"/>
  <c r="G10" i="8"/>
  <c r="G3" i="8"/>
  <c r="G12" i="8" s="1"/>
  <c r="G8" i="4"/>
  <c r="G9" i="4"/>
  <c r="G11" i="4"/>
  <c r="G12" i="4"/>
  <c r="G13" i="4"/>
  <c r="G14" i="4"/>
  <c r="G6" i="4"/>
  <c r="H10" i="8"/>
  <c r="M10" i="8" s="1"/>
  <c r="H9" i="8"/>
  <c r="H8" i="8"/>
  <c r="M8" i="8" s="1"/>
  <c r="H7" i="8"/>
  <c r="M7" i="8" s="1"/>
  <c r="H6" i="8"/>
  <c r="M6" i="8" s="1"/>
  <c r="H5" i="8"/>
  <c r="M5" i="8" s="1"/>
  <c r="H4" i="8"/>
  <c r="H3" i="8"/>
  <c r="M3" i="8" s="1"/>
  <c r="O3" i="8" s="1"/>
  <c r="I10" i="8"/>
  <c r="AB16" i="9"/>
  <c r="Z16" i="9"/>
  <c r="X16" i="9"/>
  <c r="V16" i="9"/>
  <c r="AC14" i="9"/>
  <c r="AB14" i="9"/>
  <c r="AA14" i="9"/>
  <c r="Z14" i="9"/>
  <c r="Y14" i="9"/>
  <c r="X14" i="9"/>
  <c r="W14" i="9"/>
  <c r="V14" i="9"/>
  <c r="N13" i="9"/>
  <c r="N18" i="9" s="1"/>
  <c r="M13" i="9"/>
  <c r="M14" i="9" s="1"/>
  <c r="I13" i="9"/>
  <c r="I14" i="9" s="1"/>
  <c r="H13" i="9"/>
  <c r="H14" i="9" s="1"/>
  <c r="R10" i="8"/>
  <c r="Q10" i="8"/>
  <c r="L9" i="8"/>
  <c r="R9" i="8" s="1"/>
  <c r="L8" i="8"/>
  <c r="R8" i="8" s="1"/>
  <c r="I8" i="8"/>
  <c r="N8" i="8" s="1"/>
  <c r="L7" i="8"/>
  <c r="R7" i="8" s="1"/>
  <c r="I7" i="8"/>
  <c r="N7" i="8" s="1"/>
  <c r="I6" i="8"/>
  <c r="N6" i="8" s="1"/>
  <c r="L5" i="8"/>
  <c r="R5" i="8" s="1"/>
  <c r="I5" i="8"/>
  <c r="N5" i="8" s="1"/>
  <c r="L4" i="8"/>
  <c r="R4" i="8" s="1"/>
  <c r="I9" i="1"/>
  <c r="I10" i="1" s="1"/>
  <c r="H9" i="1"/>
  <c r="K3" i="8" s="1"/>
  <c r="Q3" i="8" s="1"/>
  <c r="F10" i="7"/>
  <c r="E9" i="7"/>
  <c r="E10" i="7" s="1"/>
  <c r="F9" i="7"/>
  <c r="D9" i="7"/>
  <c r="D10" i="7" s="1"/>
  <c r="C9" i="7"/>
  <c r="D19" i="6"/>
  <c r="F17" i="6"/>
  <c r="F19" i="6" s="1"/>
  <c r="E16" i="6"/>
  <c r="E17" i="6" s="1"/>
  <c r="E19" i="6" s="1"/>
  <c r="F16" i="6"/>
  <c r="F7" i="6"/>
  <c r="E7" i="6"/>
  <c r="J15" i="5"/>
  <c r="J14" i="5"/>
  <c r="I14" i="5"/>
  <c r="K7" i="8" s="1"/>
  <c r="Q7" i="8" s="1"/>
  <c r="H15" i="5"/>
  <c r="G15" i="5"/>
  <c r="I15" i="4"/>
  <c r="I17" i="4" s="1"/>
  <c r="H17" i="4"/>
  <c r="G16" i="3"/>
  <c r="G17" i="3" s="1"/>
  <c r="F17" i="3"/>
  <c r="H9" i="2"/>
  <c r="H8" i="2"/>
  <c r="H16" i="3"/>
  <c r="H17" i="3" s="1"/>
  <c r="J15" i="4"/>
  <c r="J17" i="4" s="1"/>
  <c r="L26" i="8" l="1"/>
  <c r="P11" i="8"/>
  <c r="J10" i="8"/>
  <c r="J8" i="8"/>
  <c r="J5" i="8"/>
  <c r="N10" i="8"/>
  <c r="J7" i="8"/>
  <c r="J6" i="8"/>
  <c r="S7" i="8"/>
  <c r="M9" i="8"/>
  <c r="N14" i="9"/>
  <c r="S10" i="8"/>
  <c r="L3" i="8"/>
  <c r="L6" i="8"/>
  <c r="R6" i="8" s="1"/>
  <c r="I9" i="8"/>
  <c r="I15" i="5"/>
  <c r="C10" i="7"/>
  <c r="H10" i="1"/>
  <c r="K5" i="8"/>
  <c r="Q5" i="8" s="1"/>
  <c r="S5" i="8" s="1"/>
  <c r="K6" i="8"/>
  <c r="Q6" i="8" s="1"/>
  <c r="K8" i="8"/>
  <c r="Q8" i="8" s="1"/>
  <c r="S8" i="8" s="1"/>
  <c r="K9" i="8"/>
  <c r="Q9" i="8" s="1"/>
  <c r="S9" i="8" s="1"/>
  <c r="G8" i="2"/>
  <c r="F8" i="2"/>
  <c r="E8" i="2"/>
  <c r="L20" i="8" l="1"/>
  <c r="L21" i="8"/>
  <c r="L23" i="8"/>
  <c r="L22" i="8"/>
  <c r="L25" i="8"/>
  <c r="N9" i="8"/>
  <c r="J9" i="8"/>
  <c r="R3" i="8"/>
  <c r="R12" i="8" s="1"/>
  <c r="I4" i="8"/>
  <c r="F9" i="2"/>
  <c r="K4" i="8"/>
  <c r="G9" i="2"/>
  <c r="M4" i="8"/>
  <c r="E9" i="2"/>
  <c r="S6" i="8"/>
  <c r="F9" i="1"/>
  <c r="A8" i="1"/>
  <c r="A7" i="1"/>
  <c r="A6" i="1"/>
  <c r="A5" i="1"/>
  <c r="G9" i="1"/>
  <c r="L24" i="8" l="1"/>
  <c r="M12" i="8"/>
  <c r="O12" i="8"/>
  <c r="S3" i="8"/>
  <c r="N4" i="8"/>
  <c r="J4" i="8"/>
  <c r="I3" i="8"/>
  <c r="J3" i="8" s="1"/>
  <c r="L18" i="8" s="1"/>
  <c r="G10" i="1"/>
  <c r="F10" i="1"/>
  <c r="Q4" i="8"/>
  <c r="Q12" i="8" s="1"/>
  <c r="L19" i="8" l="1"/>
  <c r="L27" i="8" s="1"/>
  <c r="P12" i="8"/>
  <c r="S4" i="8"/>
  <c r="S12" i="8" s="1"/>
  <c r="N3" i="8"/>
  <c r="N12" i="8" s="1"/>
</calcChain>
</file>

<file path=xl/sharedStrings.xml><?xml version="1.0" encoding="utf-8"?>
<sst xmlns="http://schemas.openxmlformats.org/spreadsheetml/2006/main" count="543" uniqueCount="323">
  <si>
    <t>Start</t>
  </si>
  <si>
    <t>End</t>
  </si>
  <si>
    <t>Day</t>
  </si>
  <si>
    <t>Date</t>
  </si>
  <si>
    <t>Distance</t>
  </si>
  <si>
    <t>Ride Time</t>
  </si>
  <si>
    <t>Sunday</t>
  </si>
  <si>
    <t>Monday</t>
  </si>
  <si>
    <t>Tuesday</t>
  </si>
  <si>
    <t>Wednesday</t>
  </si>
  <si>
    <t>Thursday</t>
  </si>
  <si>
    <t>Friday</t>
  </si>
  <si>
    <t>Duration</t>
  </si>
  <si>
    <t>TOTALS</t>
  </si>
  <si>
    <t>Gain  (m)</t>
  </si>
  <si>
    <t>Average</t>
  </si>
  <si>
    <t>Nice</t>
  </si>
  <si>
    <t>Isola</t>
  </si>
  <si>
    <t>Briancon</t>
  </si>
  <si>
    <t>La Chambre</t>
  </si>
  <si>
    <t>Praz sur Arly</t>
  </si>
  <si>
    <t>Samoens</t>
  </si>
  <si>
    <t>Geneva</t>
  </si>
  <si>
    <t>Cime de la Bonette, Col de Vars</t>
  </si>
  <si>
    <t>Cols</t>
  </si>
  <si>
    <t xml:space="preserve">Col de Galibier, Col du Telegraphe </t>
  </si>
  <si>
    <t>Col du Madelaine, Col du Forclaz</t>
  </si>
  <si>
    <t>Col des Aravis, Col de Colombiere</t>
  </si>
  <si>
    <t>Col de Joux Plan , Col de Corbier</t>
  </si>
  <si>
    <t>(miles)</t>
  </si>
  <si>
    <t>(Miles)</t>
  </si>
  <si>
    <t>Accent</t>
  </si>
  <si>
    <t>(m)</t>
  </si>
  <si>
    <t>Moving Time</t>
  </si>
  <si>
    <t>Average Speed – Moving</t>
  </si>
  <si>
    <t>Rida Data – Garmin</t>
  </si>
  <si>
    <t>Hendaye</t>
  </si>
  <si>
    <t>Eaux Bonnes</t>
  </si>
  <si>
    <t>St Ignace; Pinodeila; d’Osquich</t>
  </si>
  <si>
    <t>Day 1 &gt;&gt;&gt;</t>
  </si>
  <si>
    <t>Bagneres-de-Luchon</t>
  </si>
  <si>
    <t>Aubisque;Soulor; Tourmalet; Aspin; Peyresourde</t>
  </si>
  <si>
    <t>Day 2 &gt;&gt;&gt;</t>
  </si>
  <si>
    <t>Ax-les-Thermes</t>
  </si>
  <si>
    <t>Ares; Portet; d’Aspet; Caougnous; Port</t>
  </si>
  <si>
    <t>Day 3 &gt;&gt;&gt;</t>
  </si>
  <si>
    <t>Prades</t>
  </si>
  <si>
    <t>Puymorens; Lious; Riga; La Perche; Mt Louis</t>
  </si>
  <si>
    <t>Day 4 &gt;&gt;&gt;</t>
  </si>
  <si>
    <t>Cerbere</t>
  </si>
  <si>
    <t>Saint Pierre; Ternére</t>
  </si>
  <si>
    <t>Day 5 &gt;&gt;&gt;</t>
  </si>
  <si>
    <t>Totals</t>
  </si>
  <si>
    <t>Passes</t>
  </si>
  <si>
    <t>Strava Data</t>
  </si>
  <si>
    <t>Treviso</t>
  </si>
  <si>
    <t>Cortina D’Ampezzo</t>
  </si>
  <si>
    <t>Passo San Boldo</t>
  </si>
  <si>
    <t>Passo Giau</t>
  </si>
  <si>
    <t>Merano</t>
  </si>
  <si>
    <t>Passo Falzarego di Cortina</t>
  </si>
  <si>
    <t>Passo Pordoi da Arabba</t>
  </si>
  <si>
    <t>Passo Costalunga (da Vigo)</t>
  </si>
  <si>
    <t>Bormio</t>
  </si>
  <si>
    <t>Passo dello Stelvio</t>
  </si>
  <si>
    <t>Bellinzona</t>
  </si>
  <si>
    <t>San Bartolomeo</t>
  </si>
  <si>
    <t>Monte Ceneri</t>
  </si>
  <si>
    <t>Sion</t>
  </si>
  <si>
    <t>Localita Meis</t>
  </si>
  <si>
    <t>Passo del Sempione</t>
  </si>
  <si>
    <t>Pas de Morgins</t>
  </si>
  <si>
    <t>Day 6 &gt;&gt;&gt;</t>
  </si>
  <si>
    <t>Garmin Connect Files</t>
  </si>
  <si>
    <t>Final</t>
  </si>
  <si>
    <t>Pre-ride Route Files</t>
  </si>
  <si>
    <t>(GPSies)</t>
  </si>
  <si>
    <t>Sunday (1)</t>
  </si>
  <si>
    <t>Megève</t>
  </si>
  <si>
    <t>Col de la Colombiere,</t>
  </si>
  <si>
    <t>Col de la Croix Fry,</t>
  </si>
  <si>
    <t>Col de Aravis</t>
  </si>
  <si>
    <t>Monday (2)</t>
  </si>
  <si>
    <t>Courchevel</t>
  </si>
  <si>
    <t>Cormet de Roselend and Courchevel</t>
  </si>
  <si>
    <t>Tuesday (3)</t>
  </si>
  <si>
    <t>Alpe d’Huez</t>
  </si>
  <si>
    <t>Col de la Madeleine,</t>
  </si>
  <si>
    <t>Col du Glandon &amp; Alpe – d’Huez</t>
  </si>
  <si>
    <t>Wednesday (4)</t>
  </si>
  <si>
    <t>Col de la Croix de Fer, Col du Telegraphe, Col de Galibier</t>
  </si>
  <si>
    <t>Thurseday (5)</t>
  </si>
  <si>
    <t>Val D’Isère</t>
  </si>
  <si>
    <t>Col de Montgenevre, Col du Mont Cenis &amp; Col de I’Iseran</t>
  </si>
  <si>
    <t>Friday (6)</t>
  </si>
  <si>
    <t>Martigny</t>
  </si>
  <si>
    <t>Col du Petit St Bernard and Col du Grand St Bernard</t>
  </si>
  <si>
    <t>Saturday (7)</t>
  </si>
  <si>
    <t>Vinzier</t>
  </si>
  <si>
    <t>Day 7 &gt;&gt;&gt;</t>
  </si>
  <si>
    <t>Stage</t>
  </si>
  <si>
    <t>Arrival</t>
  </si>
  <si>
    <t>Departure</t>
  </si>
  <si>
    <t>Climb</t>
  </si>
  <si>
    <t>Location at the end of the day …</t>
  </si>
  <si>
    <t>Facebook Video Link</t>
  </si>
  <si>
    <t>Strava Link</t>
  </si>
  <si>
    <t>Actual Distance</t>
  </si>
  <si>
    <t>Actual Climb</t>
  </si>
  <si>
    <t>1st Oct</t>
  </si>
  <si>
    <t>2nd Oct</t>
  </si>
  <si>
    <t>Rapallo</t>
  </si>
  <si>
    <t>Stage1</t>
  </si>
  <si>
    <t>3rd Oct</t>
  </si>
  <si>
    <t>Marina di Massa</t>
  </si>
  <si>
    <t>Days Video</t>
  </si>
  <si>
    <t>Strava Record</t>
  </si>
  <si>
    <t>Stage2</t>
  </si>
  <si>
    <t>4th Oct</t>
  </si>
  <si>
    <t>Lucca</t>
  </si>
  <si>
    <t>Stage3</t>
  </si>
  <si>
    <t>5th Oct</t>
  </si>
  <si>
    <t>Florence</t>
  </si>
  <si>
    <t>Stage4</t>
  </si>
  <si>
    <t>6th Oct</t>
  </si>
  <si>
    <t>Siena</t>
  </si>
  <si>
    <t>Stage 5</t>
  </si>
  <si>
    <t>7th Oct</t>
  </si>
  <si>
    <t>Via Capodimonte</t>
  </si>
  <si>
    <t>No vid 🙁</t>
  </si>
  <si>
    <t>Stage 6</t>
  </si>
  <si>
    <t>9th Oct</t>
  </si>
  <si>
    <t>Rome</t>
  </si>
  <si>
    <t>Granfondo Roma</t>
  </si>
  <si>
    <t>Mallorca</t>
  </si>
  <si>
    <t>Data</t>
  </si>
  <si>
    <t>https://www.strava.com/activities/931736732</t>
  </si>
  <si>
    <t>https://www.strava.com/activities/933210368</t>
  </si>
  <si>
    <t>https://www.strava.com/activities/934593293</t>
  </si>
  <si>
    <t>https://www.strava.com/activities/935982027</t>
  </si>
  <si>
    <t>Corsica</t>
  </si>
  <si>
    <t>https://www.strava.com/activities/1174265438</t>
  </si>
  <si>
    <t>https://www.strava.com/activities/1175876876</t>
  </si>
  <si>
    <t>https://www.strava.com/activities/1177566704</t>
  </si>
  <si>
    <t>https://www.strava.com/activities/1179009050</t>
  </si>
  <si>
    <t>https://www.strava.com/activities/1180443792</t>
  </si>
  <si>
    <t>TOTAL</t>
  </si>
  <si>
    <t>Days</t>
  </si>
  <si>
    <t>Averages</t>
  </si>
  <si>
    <t>AVERAGES</t>
  </si>
  <si>
    <t>Distance(Miles)</t>
  </si>
  <si>
    <t>https://connect.garmin.com/modern/activity/4041750002</t>
  </si>
  <si>
    <t>https://connect.garmin.com/modern/activity/4038871476</t>
  </si>
  <si>
    <t>https://connect.garmin.com/modern/activity/4048789429</t>
  </si>
  <si>
    <t>https://connect.garmin.com/modern/activity/4052454765</t>
  </si>
  <si>
    <t>https://connect.garmin.com/modern/activity/4048792167</t>
  </si>
  <si>
    <t>https://connect.garmin.com/modern/activity/4055123401</t>
  </si>
  <si>
    <t>Marin loop</t>
  </si>
  <si>
    <t>Mill Valley to Santa Cruz</t>
  </si>
  <si>
    <t>Early transfer to Yosemite</t>
  </si>
  <si>
    <t>Yosemite to Groveland</t>
  </si>
  <si>
    <t>Alamo to San Rafel</t>
  </si>
  <si>
    <t>Early transfer plus Roadworks transfer (Mt. Hamilton)</t>
  </si>
  <si>
    <t>Total</t>
  </si>
  <si>
    <t>Year</t>
  </si>
  <si>
    <t>Tour</t>
  </si>
  <si>
    <t>Riders</t>
  </si>
  <si>
    <t>Nice to Geneva</t>
  </si>
  <si>
    <t xml:space="preserve">Raid Pyrenees </t>
  </si>
  <si>
    <t>Giro delle Dolomiti</t>
  </si>
  <si>
    <t>Tour of Grand Cols</t>
  </si>
  <si>
    <t>Mallorca - Corsica</t>
  </si>
  <si>
    <t>Tour of California</t>
  </si>
  <si>
    <t>Genoa to Roma</t>
  </si>
  <si>
    <t>Julia</t>
  </si>
  <si>
    <t>Grace</t>
  </si>
  <si>
    <t>Sparky</t>
  </si>
  <si>
    <t>Hamish</t>
  </si>
  <si>
    <t>Rick</t>
  </si>
  <si>
    <t>Chris</t>
  </si>
  <si>
    <t>Jobbie</t>
  </si>
  <si>
    <t>Rob</t>
  </si>
  <si>
    <t>Harvey</t>
  </si>
  <si>
    <t>Barry</t>
  </si>
  <si>
    <t>John</t>
  </si>
  <si>
    <t>Neil</t>
  </si>
  <si>
    <t>Sarah</t>
  </si>
  <si>
    <t>Helen</t>
  </si>
  <si>
    <t>Ali</t>
  </si>
  <si>
    <t>Jonny</t>
  </si>
  <si>
    <t>Mark</t>
  </si>
  <si>
    <t>John Bruns</t>
  </si>
  <si>
    <t>Laurie Bruns</t>
  </si>
  <si>
    <t>Pat</t>
  </si>
  <si>
    <t>Laura</t>
  </si>
  <si>
    <t>Matt</t>
  </si>
  <si>
    <t>Severine</t>
  </si>
  <si>
    <t>Effective Days *</t>
  </si>
  <si>
    <t>* Effective Days</t>
  </si>
  <si>
    <t>This takes in to account half days and other time lost through weather and other logistical requirements</t>
  </si>
  <si>
    <t>AVERAGE EFFECTIVE DAY</t>
  </si>
  <si>
    <t>Time stationary</t>
  </si>
  <si>
    <t>Climb (Metres)</t>
  </si>
  <si>
    <t>(Metres)</t>
  </si>
  <si>
    <t>Climb (m)</t>
  </si>
  <si>
    <t>DS</t>
  </si>
  <si>
    <t xml:space="preserve">Paul </t>
  </si>
  <si>
    <t>James</t>
  </si>
  <si>
    <t>Pyrenees Classic Cols</t>
  </si>
  <si>
    <t>From</t>
  </si>
  <si>
    <t>To</t>
  </si>
  <si>
    <t>Car Time between Stops</t>
  </si>
  <si>
    <t>Planned routes</t>
  </si>
  <si>
    <t>Garmin Connect</t>
  </si>
  <si>
    <t>Climbs</t>
  </si>
  <si>
    <t>Venue</t>
  </si>
  <si>
    <t>Actuals</t>
  </si>
  <si>
    <t>S &amp; H</t>
  </si>
  <si>
    <t>R&amp;S</t>
  </si>
  <si>
    <t>J&amp;A</t>
  </si>
  <si>
    <t>ToGC</t>
  </si>
  <si>
    <t>Dolomites</t>
  </si>
  <si>
    <t>Italian Job</t>
  </si>
  <si>
    <t>Raid Pyranean</t>
  </si>
  <si>
    <t xml:space="preserve">
London 16:05
Toulouse 18:55</t>
  </si>
  <si>
    <t>Ax les Therme</t>
  </si>
  <si>
    <t>Sat</t>
  </si>
  <si>
    <t>Distance (km)</t>
  </si>
  <si>
    <t>Climbing (m)</t>
  </si>
  <si>
    <t>Goal Time</t>
  </si>
  <si>
    <t>ax Les-Therme</t>
  </si>
  <si>
    <t>Actual Time</t>
  </si>
  <si>
    <t>Elapsed Time</t>
  </si>
  <si>
    <t>Hotel  le Grillon
5 Chemin St Udaut,
ax les Thermes 09110</t>
  </si>
  <si>
    <t>Le Passage
10 rue du General de Gaulle, 09110</t>
  </si>
  <si>
    <t>Sun</t>
  </si>
  <si>
    <t>No move</t>
  </si>
  <si>
    <t>https://connect.garmin.com/modern/course/73094625</t>
  </si>
  <si>
    <t>Port de Pailheres, Col du Puymorens</t>
  </si>
  <si>
    <t>https://www.strava.com/activities/5949134509</t>
  </si>
  <si>
    <t>Hotel  le Grillon
5 Chemin St Udaut,
ax les Thermes 09111</t>
  </si>
  <si>
    <t>Le Passage
10 rue du General de Gaulle, 09111</t>
  </si>
  <si>
    <t>Climbing</t>
  </si>
  <si>
    <t>Mon</t>
  </si>
  <si>
    <t>Move to St Girons 1hr 26mins from Ax</t>
  </si>
  <si>
    <t>https://connect.garmin.com/modern/course/73563504</t>
  </si>
  <si>
    <t>Plateau de Bonnascre, Plateau de Beille</t>
  </si>
  <si>
    <t>St Girons</t>
  </si>
  <si>
    <t>https://www.strava.com/activities/5953552947</t>
  </si>
  <si>
    <t>Hotel Logis - Chateau de Beauregards
avanue del la Resistance 09200</t>
  </si>
  <si>
    <t>Tue</t>
  </si>
  <si>
    <t>Move to Bagnere de Luchon 1hr 27mins from St Giron</t>
  </si>
  <si>
    <t>https://connect.garmin.com/modern/course/73565552</t>
  </si>
  <si>
    <t>Guzet Neige</t>
  </si>
  <si>
    <t>Bagnere de Luchon</t>
  </si>
  <si>
    <t>https://www.strava.com/activities/5958444814</t>
  </si>
  <si>
    <t>Villa Gracieuse
14 Avenue Du Docteur Lambron, 31110</t>
  </si>
  <si>
    <t>Hotel Aquitaine
23 Cours Des Quinconces. Luchon 31100</t>
  </si>
  <si>
    <t>Hotel Paris
9 Cours des Quinconces, Luchon 31110</t>
  </si>
  <si>
    <t>Bayners de Luchon</t>
  </si>
  <si>
    <t>Wed</t>
  </si>
  <si>
    <t>No Move</t>
  </si>
  <si>
    <t>https://connect.garmin.com/modern/course/73566972</t>
  </si>
  <si>
    <t xml:space="preserve">Col de Mente, Superbagneres
</t>
  </si>
  <si>
    <t>https://www.strava.com/activities/5964622596</t>
  </si>
  <si>
    <t>Villa Gracieuse
14 Avenue Du Docteur Lambron, 31111</t>
  </si>
  <si>
    <t>Hotel Aquitaine
23 Cours Des Quinconces. Luchon 31101</t>
  </si>
  <si>
    <t>Hotel Paris
9 Cours des Quinconces, Luchon 31111</t>
  </si>
  <si>
    <t>Lourdes</t>
  </si>
  <si>
    <t>Thu</t>
  </si>
  <si>
    <t>1hr 27mins from Bagneres de luchon</t>
  </si>
  <si>
    <t>https://connect.garmin.com/modern/course/73570449</t>
  </si>
  <si>
    <t xml:space="preserve">Col du Tourmalet, Luz Ardiden
</t>
  </si>
  <si>
    <t>Rained off</t>
  </si>
  <si>
    <t>Hotel Alba
27 Avenue du Paradis, 65100</t>
  </si>
  <si>
    <t>Lourdes (Hautacam Finish)</t>
  </si>
  <si>
    <t>Fri</t>
  </si>
  <si>
    <t>https://connect.garmin.com/modern/course/73573616</t>
  </si>
  <si>
    <t>Col du Soulor, Hautacam Finish</t>
  </si>
  <si>
    <t>Pau</t>
  </si>
  <si>
    <t>https://www.strava.com/activities/5975059011</t>
  </si>
  <si>
    <t>Ostal Hotel Pau Universite
38 Rue Ronsard, 64000</t>
  </si>
  <si>
    <t>52 mins from Lourdes</t>
  </si>
  <si>
    <t>https://connect.garmin.com/modern/course/73577179</t>
  </si>
  <si>
    <t>Col de Marie Blanque</t>
  </si>
  <si>
    <t>Rained Off</t>
  </si>
  <si>
    <t>Toulouse - 19:50</t>
  </si>
  <si>
    <t>London 20:40</t>
  </si>
  <si>
    <t>25:23</t>
  </si>
  <si>
    <t>35:19</t>
  </si>
  <si>
    <t>21.9km/h average</t>
  </si>
  <si>
    <t>Km</t>
  </si>
  <si>
    <t>Per Day</t>
  </si>
  <si>
    <t>Ave/km/day</t>
  </si>
  <si>
    <t>meters/km</t>
  </si>
  <si>
    <t>m/km</t>
  </si>
  <si>
    <t>Average Speed (Km/h)</t>
  </si>
  <si>
    <t>(Km)</t>
  </si>
  <si>
    <t>Vehicles</t>
  </si>
  <si>
    <t>N/A</t>
  </si>
  <si>
    <t>Riders/Vehicle</t>
  </si>
  <si>
    <t>Actual Data</t>
  </si>
  <si>
    <t>UK</t>
  </si>
  <si>
    <t>Saturday</t>
  </si>
  <si>
    <t>Fonzaso</t>
  </si>
  <si>
    <t>Brixen</t>
  </si>
  <si>
    <t xml:space="preserve">Brixen </t>
  </si>
  <si>
    <t>Kizsbuhle</t>
  </si>
  <si>
    <t>Kitzbuhle</t>
  </si>
  <si>
    <t>Lienz</t>
  </si>
  <si>
    <t>Abandoned (weather)</t>
  </si>
  <si>
    <t>Villach</t>
  </si>
  <si>
    <t>Udine</t>
  </si>
  <si>
    <t>DEPART</t>
  </si>
  <si>
    <t>Ave. Day</t>
  </si>
  <si>
    <t xml:space="preserve">Average Speed </t>
  </si>
  <si>
    <t>26.0 km/h</t>
  </si>
  <si>
    <t>Coffee / Lunch / Mechanical / Crash Stops =</t>
  </si>
  <si>
    <t>per day</t>
  </si>
  <si>
    <t>Reference Points</t>
  </si>
  <si>
    <t>Tour of East Dolomites</t>
  </si>
  <si>
    <t xml:space="preserve">Crash day … </t>
  </si>
  <si>
    <t>Difficulty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</si>
</sst>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&quot;£&quot;#,##0_);[Red]\(&quot;£&quot;#,##0\)"/>
    <numFmt numFmtId="166" formatCode="hh:mm:ss;@"/>
    <numFmt numFmtId="167" formatCode="&quot;£&quot;#,##0.0_);[Red]\(&quot;£&quot;#,##0.0\)"/>
    <numFmt numFmtId="168" formatCode="#,##0.0"/>
    <numFmt numFmtId="169" formatCode="0.0%"/>
    <numFmt numFmtId="170" formatCode="[hh]:mm:ss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212529"/>
      <name val="Segoe UI"/>
      <family val="2"/>
    </font>
    <font>
      <b/>
      <sz val="12"/>
      <color rgb="FF212529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Segoe UI"/>
      <family val="2"/>
    </font>
    <font>
      <b/>
      <sz val="12"/>
      <color rgb="FF999999"/>
      <name val="Segoe U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212529"/>
      <name val="Segoe UI"/>
      <family val="2"/>
    </font>
    <font>
      <sz val="10"/>
      <color rgb="FF212529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D1D1D1"/>
      </right>
      <top/>
      <bottom style="medium">
        <color rgb="FFD1D1D1"/>
      </bottom>
      <diagonal/>
    </border>
    <border>
      <left/>
      <right style="medium">
        <color rgb="FFD1D1D1"/>
      </right>
      <top/>
      <bottom/>
      <diagonal/>
    </border>
    <border>
      <left style="medium">
        <color rgb="FFD1D1D1"/>
      </left>
      <right style="medium">
        <color rgb="FFD1D1D1"/>
      </right>
      <top style="medium">
        <color rgb="FFD1D1D1"/>
      </top>
      <bottom/>
      <diagonal/>
    </border>
    <border>
      <left/>
      <right style="medium">
        <color rgb="FFD1D1D1"/>
      </right>
      <top style="medium">
        <color rgb="FFD1D1D1"/>
      </top>
      <bottom/>
      <diagonal/>
    </border>
    <border>
      <left/>
      <right/>
      <top style="medium">
        <color rgb="FFD1D1D1"/>
      </top>
      <bottom/>
      <diagonal/>
    </border>
    <border>
      <left style="medium">
        <color rgb="FFD1D1D1"/>
      </left>
      <right style="medium">
        <color rgb="FFD1D1D1"/>
      </right>
      <top/>
      <bottom style="medium">
        <color rgb="FFD1D1D1"/>
      </bottom>
      <diagonal/>
    </border>
    <border>
      <left/>
      <right/>
      <top/>
      <bottom style="medium">
        <color rgb="FFD1D1D1"/>
      </bottom>
      <diagonal/>
    </border>
    <border>
      <left style="medium">
        <color rgb="FFD1D1D1"/>
      </left>
      <right style="medium">
        <color rgb="FFD1D1D1"/>
      </right>
      <top/>
      <bottom/>
      <diagonal/>
    </border>
    <border>
      <left style="medium">
        <color rgb="FFD1D1D1"/>
      </left>
      <right/>
      <top style="medium">
        <color rgb="FFD1D1D1"/>
      </top>
      <bottom/>
      <diagonal/>
    </border>
    <border>
      <left style="medium">
        <color rgb="FFD1D1D1"/>
      </left>
      <right/>
      <top/>
      <bottom style="medium">
        <color rgb="FFD1D1D1"/>
      </bottom>
      <diagonal/>
    </border>
    <border>
      <left style="medium">
        <color indexed="64"/>
      </left>
      <right style="medium">
        <color rgb="FFD1D1D1"/>
      </right>
      <top style="medium">
        <color indexed="64"/>
      </top>
      <bottom/>
      <diagonal/>
    </border>
    <border>
      <left style="medium">
        <color rgb="FFD1D1D1"/>
      </left>
      <right style="medium">
        <color rgb="FFD1D1D1"/>
      </right>
      <top style="medium">
        <color indexed="64"/>
      </top>
      <bottom/>
      <diagonal/>
    </border>
    <border>
      <left/>
      <right style="medium">
        <color rgb="FFD1D1D1"/>
      </right>
      <top style="medium">
        <color indexed="64"/>
      </top>
      <bottom/>
      <diagonal/>
    </border>
    <border>
      <left style="medium">
        <color rgb="FFD1D1D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D1D1D1"/>
      </right>
      <top/>
      <bottom style="medium">
        <color rgb="FFD1D1D1"/>
      </bottom>
      <diagonal/>
    </border>
    <border>
      <left style="medium">
        <color rgb="FFD1D1D1"/>
      </left>
      <right style="medium">
        <color indexed="64"/>
      </right>
      <top/>
      <bottom style="medium">
        <color rgb="FFD1D1D1"/>
      </bottom>
      <diagonal/>
    </border>
    <border>
      <left/>
      <right style="medium">
        <color indexed="64"/>
      </right>
      <top/>
      <bottom style="medium">
        <color rgb="FFD1D1D1"/>
      </bottom>
      <diagonal/>
    </border>
    <border>
      <left style="medium">
        <color indexed="64"/>
      </left>
      <right style="medium">
        <color rgb="FFD1D1D1"/>
      </right>
      <top/>
      <bottom style="medium">
        <color indexed="64"/>
      </bottom>
      <diagonal/>
    </border>
    <border>
      <left/>
      <right style="medium">
        <color rgb="FFD1D1D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D1D1D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D1D1D1"/>
      </left>
      <right style="medium">
        <color rgb="FFD1D1D1"/>
      </right>
      <top/>
      <bottom style="medium">
        <color indexed="64"/>
      </bottom>
      <diagonal/>
    </border>
    <border>
      <left style="medium">
        <color rgb="FFD1D1D1"/>
      </left>
      <right style="medium">
        <color indexed="64"/>
      </right>
      <top/>
      <bottom style="medium">
        <color indexed="64"/>
      </bottom>
      <diagonal/>
    </border>
    <border>
      <left style="medium">
        <color rgb="FFD1D1D1"/>
      </left>
      <right/>
      <top/>
      <bottom/>
      <diagonal/>
    </border>
    <border>
      <left style="medium">
        <color rgb="FFD1D1D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D1D1D1"/>
      </right>
      <top/>
      <bottom/>
      <diagonal/>
    </border>
    <border>
      <left style="medium">
        <color rgb="FFD1D1D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D1D1D1"/>
      </right>
      <top style="medium">
        <color rgb="FFD1D1D1"/>
      </top>
      <bottom/>
      <diagonal/>
    </border>
    <border>
      <left style="medium">
        <color rgb="FFD1D1D1"/>
      </left>
      <right style="medium">
        <color indexed="64"/>
      </right>
      <top style="medium">
        <color rgb="FFD1D1D1"/>
      </top>
      <bottom/>
      <diagonal/>
    </border>
    <border>
      <left style="medium">
        <color rgb="FFD1D1D1"/>
      </left>
      <right style="medium">
        <color indexed="64"/>
      </right>
      <top/>
      <bottom/>
      <diagonal/>
    </border>
    <border>
      <left/>
      <right style="medium">
        <color rgb="FFD1D1D1"/>
      </right>
      <top style="medium">
        <color indexed="64"/>
      </top>
      <bottom style="medium">
        <color rgb="FFD1D1D1"/>
      </bottom>
      <diagonal/>
    </border>
    <border>
      <left/>
      <right style="medium">
        <color indexed="64"/>
      </right>
      <top style="medium">
        <color indexed="64"/>
      </top>
      <bottom style="medium">
        <color rgb="FFD1D1D1"/>
      </bottom>
      <diagonal/>
    </border>
    <border>
      <left style="medium">
        <color indexed="64"/>
      </left>
      <right style="medium">
        <color rgb="FFD1D1D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D1D1D1"/>
      </right>
      <top style="medium">
        <color indexed="64"/>
      </top>
      <bottom style="medium">
        <color rgb="FFD1D1D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12" applyNumberFormat="0" applyAlignment="0" applyProtection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/>
  </cellStyleXfs>
  <cellXfs count="4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wrapText="1"/>
    </xf>
    <xf numFmtId="3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0" fillId="0" borderId="7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center" wrapText="1"/>
    </xf>
    <xf numFmtId="14" fontId="0" fillId="0" borderId="7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0" fillId="0" borderId="3" xfId="0" applyNumberFormat="1" applyBorder="1" applyAlignment="1">
      <alignment wrapText="1"/>
    </xf>
    <xf numFmtId="0" fontId="2" fillId="2" borderId="0" xfId="1" applyBorder="1" applyAlignment="1">
      <alignment wrapText="1"/>
    </xf>
    <xf numFmtId="164" fontId="2" fillId="2" borderId="0" xfId="1" applyNumberFormat="1" applyAlignment="1">
      <alignment horizontal="center" wrapText="1"/>
    </xf>
    <xf numFmtId="0" fontId="2" fillId="2" borderId="0" xfId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3" fillId="3" borderId="13" xfId="2" applyBorder="1" applyAlignment="1">
      <alignment wrapText="1"/>
    </xf>
    <xf numFmtId="164" fontId="3" fillId="3" borderId="13" xfId="2" applyNumberFormat="1" applyBorder="1" applyAlignment="1">
      <alignment horizontal="center" wrapText="1"/>
    </xf>
    <xf numFmtId="3" fontId="3" fillId="3" borderId="13" xfId="2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3" fontId="0" fillId="0" borderId="9" xfId="0" applyNumberFormat="1" applyBorder="1" applyAlignment="1">
      <alignment horizontal="center" wrapText="1"/>
    </xf>
    <xf numFmtId="0" fontId="0" fillId="4" borderId="0" xfId="0" applyFill="1"/>
    <xf numFmtId="0" fontId="7" fillId="4" borderId="15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20" fontId="6" fillId="4" borderId="14" xfId="0" applyNumberFormat="1" applyFont="1" applyFill="1" applyBorder="1" applyAlignment="1">
      <alignment horizontal="left" vertical="center" wrapText="1"/>
    </xf>
    <xf numFmtId="0" fontId="8" fillId="4" borderId="14" xfId="4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8" fillId="4" borderId="20" xfId="4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20" fontId="6" fillId="4" borderId="15" xfId="0" applyNumberFormat="1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20" fontId="0" fillId="0" borderId="0" xfId="0" applyNumberFormat="1"/>
    <xf numFmtId="0" fontId="7" fillId="4" borderId="26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8" fillId="4" borderId="30" xfId="4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left" vertical="center" wrapText="1"/>
    </xf>
    <xf numFmtId="20" fontId="6" fillId="4" borderId="32" xfId="0" applyNumberFormat="1" applyFont="1" applyFill="1" applyBorder="1" applyAlignment="1">
      <alignment horizontal="left" vertical="center" wrapText="1"/>
    </xf>
    <xf numFmtId="0" fontId="8" fillId="4" borderId="8" xfId="4" applyFill="1" applyBorder="1" applyAlignment="1">
      <alignment horizontal="left"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6" fillId="4" borderId="34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46" fontId="9" fillId="4" borderId="14" xfId="0" applyNumberFormat="1" applyFont="1" applyFill="1" applyBorder="1" applyAlignment="1">
      <alignment horizontal="left" vertical="center" wrapText="1"/>
    </xf>
    <xf numFmtId="0" fontId="0" fillId="4" borderId="22" xfId="0" applyFill="1" applyBorder="1"/>
    <xf numFmtId="0" fontId="0" fillId="4" borderId="18" xfId="0" applyFill="1" applyBorder="1"/>
    <xf numFmtId="0" fontId="7" fillId="4" borderId="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6" fillId="4" borderId="26" xfId="0" applyFont="1" applyFill="1" applyBorder="1" applyAlignment="1">
      <alignment horizontal="left" vertical="center" wrapText="1"/>
    </xf>
    <xf numFmtId="0" fontId="8" fillId="4" borderId="32" xfId="4" applyFill="1" applyBorder="1" applyAlignment="1">
      <alignment horizontal="left" vertical="center" wrapText="1"/>
    </xf>
    <xf numFmtId="0" fontId="8" fillId="4" borderId="7" xfId="4" applyFill="1" applyBorder="1" applyAlignment="1">
      <alignment horizontal="left" vertical="center" wrapText="1"/>
    </xf>
    <xf numFmtId="14" fontId="6" fillId="4" borderId="14" xfId="0" applyNumberFormat="1" applyFont="1" applyFill="1" applyBorder="1" applyAlignment="1">
      <alignment horizontal="left" vertical="center" wrapText="1"/>
    </xf>
    <xf numFmtId="0" fontId="8" fillId="5" borderId="14" xfId="4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30" xfId="0" applyFont="1" applyFill="1" applyBorder="1" applyAlignment="1">
      <alignment horizontal="left" vertical="center" wrapText="1"/>
    </xf>
    <xf numFmtId="0" fontId="8" fillId="5" borderId="30" xfId="4" applyFill="1" applyBorder="1" applyAlignment="1">
      <alignment horizontal="left" vertical="center" wrapText="1"/>
    </xf>
    <xf numFmtId="14" fontId="6" fillId="4" borderId="32" xfId="0" applyNumberFormat="1" applyFont="1" applyFill="1" applyBorder="1" applyAlignment="1">
      <alignment horizontal="left" vertical="center" wrapText="1"/>
    </xf>
    <xf numFmtId="0" fontId="8" fillId="5" borderId="32" xfId="4" applyFill="1" applyBorder="1" applyAlignment="1">
      <alignment horizontal="left" vertical="center" wrapText="1"/>
    </xf>
    <xf numFmtId="0" fontId="8" fillId="5" borderId="8" xfId="4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8" fillId="4" borderId="19" xfId="4" applyFill="1" applyBorder="1" applyAlignment="1">
      <alignment horizontal="left" vertical="center" wrapText="1"/>
    </xf>
    <xf numFmtId="46" fontId="9" fillId="4" borderId="45" xfId="0" applyNumberFormat="1" applyFont="1" applyFill="1" applyBorder="1" applyAlignment="1">
      <alignment horizontal="left" vertical="center" wrapText="1"/>
    </xf>
    <xf numFmtId="46" fontId="9" fillId="4" borderId="3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4" borderId="47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1" fontId="6" fillId="4" borderId="14" xfId="0" applyNumberFormat="1" applyFont="1" applyFill="1" applyBorder="1" applyAlignment="1">
      <alignment horizontal="left" vertical="center" wrapText="1"/>
    </xf>
    <xf numFmtId="1" fontId="6" fillId="4" borderId="32" xfId="0" applyNumberFormat="1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6" fillId="4" borderId="48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1" fontId="9" fillId="4" borderId="45" xfId="0" applyNumberFormat="1" applyFont="1" applyFill="1" applyBorder="1" applyAlignment="1">
      <alignment horizontal="left" vertical="center" wrapText="1"/>
    </xf>
    <xf numFmtId="3" fontId="9" fillId="4" borderId="45" xfId="0" applyNumberFormat="1" applyFont="1" applyFill="1" applyBorder="1" applyAlignment="1">
      <alignment horizontal="left" vertical="center" wrapText="1"/>
    </xf>
    <xf numFmtId="0" fontId="9" fillId="4" borderId="46" xfId="0" applyFont="1" applyFill="1" applyBorder="1" applyAlignment="1">
      <alignment horizontal="left" vertical="center" wrapText="1"/>
    </xf>
    <xf numFmtId="0" fontId="10" fillId="4" borderId="32" xfId="0" applyFont="1" applyFill="1" applyBorder="1" applyAlignment="1">
      <alignment horizontal="left" vertical="center" wrapText="1"/>
    </xf>
    <xf numFmtId="1" fontId="10" fillId="4" borderId="32" xfId="0" applyNumberFormat="1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" fontId="6" fillId="4" borderId="21" xfId="0" applyNumberFormat="1" applyFont="1" applyFill="1" applyBorder="1" applyAlignment="1">
      <alignment horizontal="left" vertical="center" wrapText="1"/>
    </xf>
    <xf numFmtId="1" fontId="6" fillId="4" borderId="19" xfId="0" applyNumberFormat="1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1" fontId="7" fillId="4" borderId="34" xfId="0" applyNumberFormat="1" applyFont="1" applyFill="1" applyBorder="1" applyAlignment="1">
      <alignment horizontal="left" vertical="center" wrapText="1"/>
    </xf>
    <xf numFmtId="3" fontId="7" fillId="4" borderId="34" xfId="0" applyNumberFormat="1" applyFont="1" applyFill="1" applyBorder="1" applyAlignment="1">
      <alignment horizontal="left" vertical="center" wrapText="1"/>
    </xf>
    <xf numFmtId="46" fontId="7" fillId="4" borderId="35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46" fontId="9" fillId="4" borderId="26" xfId="0" applyNumberFormat="1" applyFont="1" applyFill="1" applyBorder="1" applyAlignment="1">
      <alignment horizontal="left" vertical="center" wrapText="1"/>
    </xf>
    <xf numFmtId="46" fontId="9" fillId="4" borderId="3" xfId="0" applyNumberFormat="1" applyFont="1" applyFill="1" applyBorder="1" applyAlignment="1">
      <alignment horizontal="left" vertical="center" wrapText="1"/>
    </xf>
    <xf numFmtId="46" fontId="9" fillId="4" borderId="34" xfId="0" applyNumberFormat="1" applyFont="1" applyFill="1" applyBorder="1" applyAlignment="1">
      <alignment horizontal="left" vertical="center" wrapText="1"/>
    </xf>
    <xf numFmtId="46" fontId="9" fillId="4" borderId="35" xfId="0" applyNumberFormat="1" applyFont="1" applyFill="1" applyBorder="1" applyAlignment="1">
      <alignment horizontal="left" vertical="center" wrapText="1"/>
    </xf>
    <xf numFmtId="46" fontId="7" fillId="4" borderId="34" xfId="0" applyNumberFormat="1" applyFont="1" applyFill="1" applyBorder="1" applyAlignment="1">
      <alignment horizontal="left" vertical="center" wrapText="1"/>
    </xf>
    <xf numFmtId="46" fontId="7" fillId="4" borderId="34" xfId="0" applyNumberFormat="1" applyFont="1" applyFill="1" applyBorder="1" applyAlignment="1">
      <alignment horizontal="righ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26" xfId="0" applyFont="1" applyFill="1" applyBorder="1" applyAlignment="1">
      <alignment horizontal="left" vertical="center" wrapText="1"/>
    </xf>
    <xf numFmtId="3" fontId="6" fillId="5" borderId="2" xfId="0" applyNumberFormat="1" applyFont="1" applyFill="1" applyBorder="1" applyAlignment="1">
      <alignment horizontal="left" vertical="center" wrapText="1"/>
    </xf>
    <xf numFmtId="46" fontId="7" fillId="4" borderId="35" xfId="0" applyNumberFormat="1" applyFont="1" applyFill="1" applyBorder="1" applyAlignment="1">
      <alignment horizontal="right" vertical="center" wrapText="1"/>
    </xf>
    <xf numFmtId="0" fontId="6" fillId="5" borderId="47" xfId="0" applyFont="1" applyFill="1" applyBorder="1" applyAlignment="1">
      <alignment horizontal="left" vertical="center" wrapText="1"/>
    </xf>
    <xf numFmtId="1" fontId="6" fillId="5" borderId="34" xfId="0" applyNumberFormat="1" applyFont="1" applyFill="1" applyBorder="1" applyAlignment="1">
      <alignment horizontal="left" vertical="center" wrapText="1"/>
    </xf>
    <xf numFmtId="3" fontId="6" fillId="5" borderId="49" xfId="0" applyNumberFormat="1" applyFont="1" applyFill="1" applyBorder="1" applyAlignment="1">
      <alignment horizontal="left" vertical="center" wrapText="1"/>
    </xf>
    <xf numFmtId="14" fontId="6" fillId="4" borderId="28" xfId="0" applyNumberFormat="1" applyFont="1" applyFill="1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1" fontId="6" fillId="4" borderId="15" xfId="0" applyNumberFormat="1" applyFont="1" applyFill="1" applyBorder="1" applyAlignment="1">
      <alignment horizontal="left" vertical="center" wrapText="1"/>
    </xf>
    <xf numFmtId="14" fontId="6" fillId="4" borderId="40" xfId="0" applyNumberFormat="1" applyFont="1" applyFill="1" applyBorder="1" applyAlignment="1">
      <alignment horizontal="left" vertical="center" wrapText="1"/>
    </xf>
    <xf numFmtId="0" fontId="8" fillId="4" borderId="5" xfId="4" applyFill="1" applyBorder="1" applyAlignment="1">
      <alignment horizontal="left" vertical="center" wrapText="1"/>
    </xf>
    <xf numFmtId="1" fontId="6" fillId="4" borderId="34" xfId="0" applyNumberFormat="1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0" fillId="0" borderId="33" xfId="0" applyBorder="1"/>
    <xf numFmtId="1" fontId="0" fillId="0" borderId="49" xfId="0" applyNumberFormat="1" applyBorder="1"/>
    <xf numFmtId="0" fontId="0" fillId="0" borderId="0" xfId="0" applyAlignment="1">
      <alignment horizontal="center"/>
    </xf>
    <xf numFmtId="0" fontId="8" fillId="0" borderId="0" xfId="4"/>
    <xf numFmtId="0" fontId="0" fillId="0" borderId="1" xfId="0" applyBorder="1" applyAlignment="1">
      <alignment horizontal="center"/>
    </xf>
    <xf numFmtId="0" fontId="0" fillId="0" borderId="2" xfId="0" applyBorder="1"/>
    <xf numFmtId="46" fontId="7" fillId="4" borderId="26" xfId="0" applyNumberFormat="1" applyFont="1" applyFill="1" applyBorder="1" applyAlignment="1">
      <alignment horizontal="left" vertical="center" wrapText="1"/>
    </xf>
    <xf numFmtId="46" fontId="7" fillId="4" borderId="3" xfId="0" applyNumberFormat="1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0" fillId="7" borderId="0" xfId="0" applyFill="1"/>
    <xf numFmtId="0" fontId="0" fillId="9" borderId="0" xfId="0" applyFill="1"/>
    <xf numFmtId="20" fontId="14" fillId="4" borderId="14" xfId="0" applyNumberFormat="1" applyFont="1" applyFill="1" applyBorder="1" applyAlignment="1">
      <alignment horizontal="center" wrapText="1"/>
    </xf>
    <xf numFmtId="46" fontId="13" fillId="4" borderId="26" xfId="0" applyNumberFormat="1" applyFont="1" applyFill="1" applyBorder="1" applyAlignment="1">
      <alignment horizontal="left" vertical="center" wrapText="1"/>
    </xf>
    <xf numFmtId="46" fontId="13" fillId="4" borderId="3" xfId="0" applyNumberFormat="1" applyFont="1" applyFill="1" applyBorder="1" applyAlignment="1">
      <alignment horizontal="left" vertical="center" wrapText="1"/>
    </xf>
    <xf numFmtId="46" fontId="11" fillId="0" borderId="0" xfId="0" applyNumberFormat="1" applyFont="1" applyBorder="1" applyAlignment="1">
      <alignment horizontal="center"/>
    </xf>
    <xf numFmtId="0" fontId="5" fillId="11" borderId="1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46" fontId="11" fillId="0" borderId="7" xfId="0" applyNumberFormat="1" applyFont="1" applyBorder="1" applyAlignment="1">
      <alignment horizontal="center"/>
    </xf>
    <xf numFmtId="46" fontId="11" fillId="0" borderId="8" xfId="0" applyNumberFormat="1" applyFont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0" xfId="0" applyFont="1" applyFill="1" applyBorder="1"/>
    <xf numFmtId="0" fontId="0" fillId="0" borderId="1" xfId="0" applyBorder="1"/>
    <xf numFmtId="0" fontId="0" fillId="8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6" xfId="0" applyFont="1" applyFill="1" applyBorder="1" applyAlignment="1">
      <alignment horizontal="center" textRotation="90" wrapText="1"/>
    </xf>
    <xf numFmtId="0" fontId="12" fillId="0" borderId="7" xfId="0" applyFont="1" applyFill="1" applyBorder="1" applyAlignment="1">
      <alignment horizontal="center" textRotation="90" wrapText="1"/>
    </xf>
    <xf numFmtId="0" fontId="12" fillId="0" borderId="8" xfId="0" applyFont="1" applyFill="1" applyBorder="1" applyAlignment="1">
      <alignment horizontal="center" textRotation="90" wrapText="1"/>
    </xf>
    <xf numFmtId="1" fontId="0" fillId="0" borderId="0" xfId="0" applyNumberFormat="1" applyAlignment="1">
      <alignment horizontal="center"/>
    </xf>
    <xf numFmtId="46" fontId="11" fillId="0" borderId="9" xfId="0" applyNumberFormat="1" applyFont="1" applyBorder="1" applyAlignment="1">
      <alignment horizontal="center"/>
    </xf>
    <xf numFmtId="46" fontId="11" fillId="0" borderId="11" xfId="0" applyNumberFormat="1" applyFont="1" applyBorder="1" applyAlignment="1">
      <alignment horizontal="center"/>
    </xf>
    <xf numFmtId="9" fontId="0" fillId="0" borderId="0" xfId="3" applyFont="1" applyAlignment="1">
      <alignment horizontal="center"/>
    </xf>
    <xf numFmtId="1" fontId="11" fillId="0" borderId="1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46" fontId="11" fillId="0" borderId="2" xfId="0" applyNumberFormat="1" applyFont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16" fillId="10" borderId="0" xfId="5" applyFont="1" applyFill="1" applyAlignment="1">
      <alignment wrapText="1"/>
    </xf>
    <xf numFmtId="0" fontId="16" fillId="10" borderId="0" xfId="5" applyFont="1" applyFill="1" applyAlignment="1">
      <alignment horizontal="center" wrapText="1"/>
    </xf>
    <xf numFmtId="0" fontId="15" fillId="0" borderId="0" xfId="5" applyAlignment="1">
      <alignment wrapText="1"/>
    </xf>
    <xf numFmtId="0" fontId="16" fillId="10" borderId="4" xfId="5" applyFont="1" applyFill="1" applyBorder="1" applyAlignment="1">
      <alignment horizontal="center"/>
    </xf>
    <xf numFmtId="0" fontId="16" fillId="10" borderId="0" xfId="5" applyFont="1" applyFill="1" applyAlignment="1">
      <alignment horizontal="center"/>
    </xf>
    <xf numFmtId="0" fontId="16" fillId="10" borderId="5" xfId="5" applyFont="1" applyFill="1" applyBorder="1" applyAlignment="1">
      <alignment horizontal="center"/>
    </xf>
    <xf numFmtId="0" fontId="15" fillId="0" borderId="0" xfId="5" applyAlignment="1">
      <alignment vertical="center" wrapText="1"/>
    </xf>
    <xf numFmtId="0" fontId="15" fillId="0" borderId="0" xfId="5" applyAlignment="1">
      <alignment vertical="center"/>
    </xf>
    <xf numFmtId="0" fontId="15" fillId="0" borderId="0" xfId="5" applyAlignment="1">
      <alignment horizontal="center" vertical="center"/>
    </xf>
    <xf numFmtId="0" fontId="15" fillId="0" borderId="0" xfId="5" applyAlignment="1">
      <alignment horizontal="center"/>
    </xf>
    <xf numFmtId="14" fontId="15" fillId="0" borderId="0" xfId="5" applyNumberFormat="1"/>
    <xf numFmtId="165" fontId="15" fillId="0" borderId="0" xfId="5" applyNumberFormat="1"/>
    <xf numFmtId="0" fontId="15" fillId="0" borderId="0" xfId="5"/>
    <xf numFmtId="0" fontId="15" fillId="0" borderId="4" xfId="5" applyBorder="1" applyAlignment="1">
      <alignment horizontal="center" vertical="center" wrapText="1"/>
    </xf>
    <xf numFmtId="0" fontId="15" fillId="0" borderId="0" xfId="5" applyAlignment="1">
      <alignment horizontal="center" vertical="center" wrapText="1"/>
    </xf>
    <xf numFmtId="0" fontId="15" fillId="0" borderId="5" xfId="5" applyBorder="1" applyAlignment="1">
      <alignment horizontal="center" vertical="center" wrapText="1"/>
    </xf>
    <xf numFmtId="0" fontId="15" fillId="0" borderId="4" xfId="5" applyBorder="1" applyAlignment="1">
      <alignment horizontal="center"/>
    </xf>
    <xf numFmtId="0" fontId="15" fillId="0" borderId="5" xfId="5" applyBorder="1" applyAlignment="1">
      <alignment horizontal="center"/>
    </xf>
    <xf numFmtId="0" fontId="15" fillId="13" borderId="50" xfId="5" applyFill="1" applyBorder="1" applyAlignment="1">
      <alignment vertical="center"/>
    </xf>
    <xf numFmtId="0" fontId="15" fillId="13" borderId="51" xfId="5" applyFill="1" applyBorder="1" applyAlignment="1">
      <alignment vertical="center"/>
    </xf>
    <xf numFmtId="0" fontId="15" fillId="13" borderId="51" xfId="5" applyFill="1" applyBorder="1" applyAlignment="1">
      <alignment horizontal="center" vertical="center"/>
    </xf>
    <xf numFmtId="14" fontId="15" fillId="13" borderId="51" xfId="5" applyNumberFormat="1" applyFill="1" applyBorder="1" applyAlignment="1">
      <alignment vertical="center"/>
    </xf>
    <xf numFmtId="165" fontId="15" fillId="13" borderId="51" xfId="5" applyNumberFormat="1" applyFill="1" applyBorder="1" applyAlignment="1">
      <alignment vertical="center"/>
    </xf>
    <xf numFmtId="165" fontId="17" fillId="13" borderId="51" xfId="6" applyNumberFormat="1" applyFill="1" applyBorder="1" applyAlignment="1">
      <alignment vertical="center"/>
    </xf>
    <xf numFmtId="0" fontId="15" fillId="14" borderId="51" xfId="5" applyFill="1" applyBorder="1" applyAlignment="1">
      <alignment vertical="center"/>
    </xf>
    <xf numFmtId="166" fontId="15" fillId="14" borderId="51" xfId="5" applyNumberFormat="1" applyFill="1" applyBorder="1" applyAlignment="1">
      <alignment vertical="center"/>
    </xf>
    <xf numFmtId="166" fontId="15" fillId="14" borderId="52" xfId="5" applyNumberFormat="1" applyFill="1" applyBorder="1" applyAlignment="1">
      <alignment horizontal="center" vertical="center" wrapText="1"/>
    </xf>
    <xf numFmtId="20" fontId="15" fillId="14" borderId="0" xfId="5" applyNumberFormat="1" applyFill="1" applyAlignment="1">
      <alignment vertical="center"/>
    </xf>
    <xf numFmtId="0" fontId="17" fillId="0" borderId="0" xfId="6" applyAlignment="1">
      <alignment vertical="center"/>
    </xf>
    <xf numFmtId="0" fontId="15" fillId="0" borderId="4" xfId="5" applyBorder="1"/>
    <xf numFmtId="0" fontId="15" fillId="0" borderId="50" xfId="5" applyBorder="1" applyAlignment="1">
      <alignment vertical="center"/>
    </xf>
    <xf numFmtId="0" fontId="15" fillId="0" borderId="51" xfId="5" applyBorder="1" applyAlignment="1">
      <alignment vertical="center"/>
    </xf>
    <xf numFmtId="0" fontId="15" fillId="0" borderId="51" xfId="5" applyBorder="1" applyAlignment="1">
      <alignment horizontal="center" vertical="center"/>
    </xf>
    <xf numFmtId="14" fontId="15" fillId="0" borderId="51" xfId="5" applyNumberFormat="1" applyBorder="1" applyAlignment="1">
      <alignment vertical="center"/>
    </xf>
    <xf numFmtId="165" fontId="15" fillId="0" borderId="51" xfId="5" applyNumberFormat="1" applyBorder="1" applyAlignment="1">
      <alignment horizontal="center" vertical="center" wrapText="1"/>
    </xf>
    <xf numFmtId="165" fontId="17" fillId="0" borderId="0" xfId="6" applyNumberFormat="1" applyAlignment="1">
      <alignment vertical="center"/>
    </xf>
    <xf numFmtId="0" fontId="15" fillId="0" borderId="5" xfId="5" applyBorder="1"/>
    <xf numFmtId="0" fontId="15" fillId="13" borderId="50" xfId="5" applyFill="1" applyBorder="1"/>
    <xf numFmtId="0" fontId="15" fillId="13" borderId="51" xfId="5" applyFill="1" applyBorder="1"/>
    <xf numFmtId="165" fontId="15" fillId="13" borderId="51" xfId="5" applyNumberFormat="1" applyFill="1" applyBorder="1" applyAlignment="1">
      <alignment horizontal="center" vertical="center" wrapText="1"/>
    </xf>
    <xf numFmtId="165" fontId="17" fillId="13" borderId="0" xfId="6" applyNumberFormat="1" applyFill="1" applyAlignment="1">
      <alignment vertical="center"/>
    </xf>
    <xf numFmtId="166" fontId="15" fillId="0" borderId="0" xfId="5" applyNumberFormat="1" applyAlignment="1">
      <alignment vertical="center" wrapText="1"/>
    </xf>
    <xf numFmtId="165" fontId="15" fillId="0" borderId="51" xfId="5" applyNumberFormat="1" applyBorder="1" applyAlignment="1">
      <alignment vertical="center"/>
    </xf>
    <xf numFmtId="0" fontId="15" fillId="15" borderId="51" xfId="5" applyFill="1" applyBorder="1" applyAlignment="1">
      <alignment vertical="center"/>
    </xf>
    <xf numFmtId="166" fontId="15" fillId="15" borderId="51" xfId="5" applyNumberFormat="1" applyFill="1" applyBorder="1" applyAlignment="1">
      <alignment vertical="center"/>
    </xf>
    <xf numFmtId="166" fontId="15" fillId="15" borderId="52" xfId="5" applyNumberFormat="1" applyFill="1" applyBorder="1" applyAlignment="1">
      <alignment horizontal="center" vertical="center" wrapText="1"/>
    </xf>
    <xf numFmtId="0" fontId="15" fillId="14" borderId="0" xfId="5" applyFill="1" applyAlignment="1">
      <alignment vertical="center"/>
    </xf>
    <xf numFmtId="0" fontId="15" fillId="0" borderId="50" xfId="5" applyBorder="1"/>
    <xf numFmtId="0" fontId="15" fillId="0" borderId="51" xfId="5" applyBorder="1"/>
    <xf numFmtId="165" fontId="17" fillId="0" borderId="51" xfId="6" applyNumberFormat="1" applyBorder="1" applyAlignment="1">
      <alignment vertical="center"/>
    </xf>
    <xf numFmtId="20" fontId="15" fillId="15" borderId="0" xfId="5" applyNumberFormat="1" applyFill="1" applyAlignment="1">
      <alignment vertical="center"/>
    </xf>
    <xf numFmtId="0" fontId="15" fillId="0" borderId="6" xfId="5" applyBorder="1"/>
    <xf numFmtId="0" fontId="15" fillId="0" borderId="7" xfId="5" applyBorder="1"/>
    <xf numFmtId="0" fontId="15" fillId="0" borderId="8" xfId="5" applyBorder="1"/>
    <xf numFmtId="166" fontId="15" fillId="14" borderId="52" xfId="5" applyNumberFormat="1" applyFill="1" applyBorder="1" applyAlignment="1">
      <alignment wrapText="1"/>
    </xf>
    <xf numFmtId="166" fontId="15" fillId="0" borderId="0" xfId="5" applyNumberFormat="1" applyAlignment="1">
      <alignment wrapText="1"/>
    </xf>
    <xf numFmtId="165" fontId="17" fillId="0" borderId="0" xfId="6" applyNumberFormat="1"/>
    <xf numFmtId="166" fontId="15" fillId="0" borderId="0" xfId="5" applyNumberFormat="1"/>
    <xf numFmtId="166" fontId="15" fillId="0" borderId="0" xfId="5" applyNumberFormat="1" applyAlignment="1">
      <alignment horizontal="right"/>
    </xf>
    <xf numFmtId="167" fontId="15" fillId="0" borderId="0" xfId="5" applyNumberFormat="1"/>
    <xf numFmtId="0" fontId="18" fillId="0" borderId="0" xfId="5" applyFont="1"/>
    <xf numFmtId="46" fontId="18" fillId="0" borderId="0" xfId="5" applyNumberFormat="1" applyFont="1"/>
    <xf numFmtId="166" fontId="18" fillId="0" borderId="0" xfId="5" applyNumberFormat="1" applyFont="1"/>
    <xf numFmtId="20" fontId="18" fillId="0" borderId="0" xfId="5" quotePrefix="1" applyNumberFormat="1" applyFont="1"/>
    <xf numFmtId="166" fontId="18" fillId="0" borderId="0" xfId="5" applyNumberFormat="1" applyFont="1" applyAlignment="1">
      <alignment horizontal="right"/>
    </xf>
    <xf numFmtId="0" fontId="18" fillId="0" borderId="4" xfId="5" applyFont="1" applyBorder="1"/>
    <xf numFmtId="0" fontId="18" fillId="0" borderId="5" xfId="5" applyFont="1" applyBorder="1"/>
    <xf numFmtId="1" fontId="15" fillId="0" borderId="0" xfId="5" applyNumberFormat="1"/>
    <xf numFmtId="1" fontId="15" fillId="0" borderId="0" xfId="5" applyNumberFormat="1" applyAlignment="1">
      <alignment horizontal="right"/>
    </xf>
    <xf numFmtId="1" fontId="15" fillId="0" borderId="6" xfId="5" applyNumberFormat="1" applyBorder="1"/>
    <xf numFmtId="1" fontId="15" fillId="0" borderId="8" xfId="5" applyNumberFormat="1" applyBorder="1"/>
    <xf numFmtId="1" fontId="11" fillId="0" borderId="9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0" borderId="7" xfId="0" applyBorder="1"/>
    <xf numFmtId="0" fontId="0" fillId="8" borderId="7" xfId="0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8" fontId="11" fillId="0" borderId="2" xfId="0" applyNumberFormat="1" applyFont="1" applyBorder="1" applyAlignment="1">
      <alignment horizontal="center"/>
    </xf>
    <xf numFmtId="168" fontId="11" fillId="0" borderId="7" xfId="0" applyNumberFormat="1" applyFont="1" applyBorder="1" applyAlignment="1">
      <alignment horizontal="center"/>
    </xf>
    <xf numFmtId="1" fontId="0" fillId="17" borderId="0" xfId="0" applyNumberFormat="1" applyFill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3" fontId="11" fillId="0" borderId="6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6" fillId="4" borderId="16" xfId="0" applyFont="1" applyFill="1" applyBorder="1" applyAlignment="1">
      <alignment horizontal="left" vertical="center" wrapText="1"/>
    </xf>
    <xf numFmtId="1" fontId="6" fillId="4" borderId="19" xfId="0" applyNumberFormat="1" applyFont="1" applyFill="1" applyBorder="1" applyAlignment="1">
      <alignment horizontal="left" vertical="center" wrapText="1"/>
    </xf>
    <xf numFmtId="1" fontId="6" fillId="4" borderId="21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16" fillId="10" borderId="0" xfId="5" applyFont="1" applyFill="1"/>
    <xf numFmtId="0" fontId="15" fillId="14" borderId="1" xfId="5" applyFill="1" applyBorder="1"/>
    <xf numFmtId="0" fontId="15" fillId="14" borderId="2" xfId="5" applyFill="1" applyBorder="1"/>
    <xf numFmtId="0" fontId="15" fillId="14" borderId="2" xfId="5" applyFill="1" applyBorder="1" applyAlignment="1">
      <alignment horizontal="center"/>
    </xf>
    <xf numFmtId="14" fontId="15" fillId="14" borderId="2" xfId="5" applyNumberFormat="1" applyFill="1" applyBorder="1"/>
    <xf numFmtId="0" fontId="15" fillId="14" borderId="3" xfId="5" applyFill="1" applyBorder="1"/>
    <xf numFmtId="0" fontId="15" fillId="0" borderId="1" xfId="5" applyBorder="1"/>
    <xf numFmtId="0" fontId="15" fillId="0" borderId="2" xfId="5" applyBorder="1"/>
    <xf numFmtId="0" fontId="15" fillId="0" borderId="2" xfId="5" applyBorder="1" applyAlignment="1">
      <alignment horizontal="center"/>
    </xf>
    <xf numFmtId="14" fontId="15" fillId="0" borderId="2" xfId="5" applyNumberFormat="1" applyBorder="1"/>
    <xf numFmtId="164" fontId="15" fillId="14" borderId="2" xfId="5" applyNumberFormat="1" applyFill="1" applyBorder="1"/>
    <xf numFmtId="166" fontId="15" fillId="14" borderId="3" xfId="5" applyNumberFormat="1" applyFill="1" applyBorder="1"/>
    <xf numFmtId="164" fontId="15" fillId="14" borderId="0" xfId="5" applyNumberFormat="1" applyFill="1"/>
    <xf numFmtId="0" fontId="15" fillId="14" borderId="0" xfId="5" applyFill="1"/>
    <xf numFmtId="166" fontId="15" fillId="14" borderId="5" xfId="5" applyNumberFormat="1" applyFill="1" applyBorder="1"/>
    <xf numFmtId="164" fontId="15" fillId="8" borderId="0" xfId="5" applyNumberFormat="1" applyFill="1"/>
    <xf numFmtId="0" fontId="15" fillId="8" borderId="0" xfId="5" applyFill="1"/>
    <xf numFmtId="166" fontId="15" fillId="8" borderId="5" xfId="5" applyNumberFormat="1" applyFill="1" applyBorder="1"/>
    <xf numFmtId="0" fontId="15" fillId="0" borderId="7" xfId="5" applyBorder="1" applyAlignment="1">
      <alignment horizontal="center"/>
    </xf>
    <xf numFmtId="14" fontId="15" fillId="0" borderId="7" xfId="5" applyNumberFormat="1" applyBorder="1"/>
    <xf numFmtId="164" fontId="15" fillId="14" borderId="7" xfId="5" applyNumberFormat="1" applyFill="1" applyBorder="1"/>
    <xf numFmtId="0" fontId="15" fillId="14" borderId="7" xfId="5" applyFill="1" applyBorder="1"/>
    <xf numFmtId="166" fontId="15" fillId="14" borderId="8" xfId="5" applyNumberFormat="1" applyFill="1" applyBorder="1"/>
    <xf numFmtId="0" fontId="15" fillId="14" borderId="6" xfId="5" applyFill="1" applyBorder="1"/>
    <xf numFmtId="0" fontId="15" fillId="14" borderId="7" xfId="5" applyFill="1" applyBorder="1" applyAlignment="1">
      <alignment horizontal="center"/>
    </xf>
    <xf numFmtId="14" fontId="15" fillId="14" borderId="7" xfId="5" applyNumberFormat="1" applyFill="1" applyBorder="1"/>
    <xf numFmtId="166" fontId="15" fillId="14" borderId="0" xfId="5" applyNumberFormat="1" applyFill="1"/>
    <xf numFmtId="167" fontId="15" fillId="0" borderId="0" xfId="5" applyNumberFormat="1" applyAlignment="1">
      <alignment horizontal="right"/>
    </xf>
    <xf numFmtId="0" fontId="18" fillId="14" borderId="0" xfId="5" applyFont="1" applyFill="1"/>
    <xf numFmtId="0" fontId="15" fillId="0" borderId="0" xfId="5" applyAlignment="1">
      <alignment horizontal="right"/>
    </xf>
    <xf numFmtId="1" fontId="15" fillId="14" borderId="0" xfId="5" applyNumberFormat="1" applyFill="1"/>
    <xf numFmtId="166" fontId="18" fillId="14" borderId="2" xfId="5" quotePrefix="1" applyNumberFormat="1" applyFont="1" applyFill="1" applyBorder="1" applyAlignment="1">
      <alignment horizontal="right"/>
    </xf>
    <xf numFmtId="0" fontId="15" fillId="0" borderId="3" xfId="5" applyBorder="1"/>
    <xf numFmtId="20" fontId="15" fillId="0" borderId="7" xfId="5" applyNumberFormat="1" applyBorder="1"/>
    <xf numFmtId="46" fontId="11" fillId="0" borderId="53" xfId="0" applyNumberFormat="1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9" fontId="11" fillId="0" borderId="53" xfId="3" applyNumberFormat="1" applyFont="1" applyBorder="1" applyAlignment="1">
      <alignment horizontal="center"/>
    </xf>
    <xf numFmtId="169" fontId="11" fillId="0" borderId="9" xfId="3" applyNumberFormat="1" applyFont="1" applyBorder="1" applyAlignment="1">
      <alignment horizontal="center"/>
    </xf>
    <xf numFmtId="169" fontId="11" fillId="0" borderId="11" xfId="3" applyNumberFormat="1" applyFont="1" applyBorder="1" applyAlignment="1">
      <alignment horizontal="center"/>
    </xf>
    <xf numFmtId="170" fontId="18" fillId="14" borderId="0" xfId="5" applyNumberFormat="1" applyFont="1" applyFill="1"/>
    <xf numFmtId="166" fontId="15" fillId="14" borderId="0" xfId="5" quotePrefix="1" applyNumberFormat="1" applyFont="1" applyFill="1" applyAlignment="1">
      <alignment horizontal="right"/>
    </xf>
    <xf numFmtId="46" fontId="11" fillId="0" borderId="1" xfId="0" applyNumberFormat="1" applyFont="1" applyBorder="1" applyAlignment="1">
      <alignment horizontal="center"/>
    </xf>
    <xf numFmtId="46" fontId="11" fillId="0" borderId="3" xfId="0" applyNumberFormat="1" applyFont="1" applyBorder="1" applyAlignment="1">
      <alignment horizontal="center"/>
    </xf>
    <xf numFmtId="46" fontId="11" fillId="0" borderId="4" xfId="0" applyNumberFormat="1" applyFont="1" applyBorder="1" applyAlignment="1">
      <alignment horizontal="center"/>
    </xf>
    <xf numFmtId="46" fontId="11" fillId="0" borderId="5" xfId="0" applyNumberFormat="1" applyFont="1" applyBorder="1" applyAlignment="1">
      <alignment horizontal="center"/>
    </xf>
    <xf numFmtId="46" fontId="11" fillId="0" borderId="6" xfId="0" applyNumberFormat="1" applyFont="1" applyBorder="1" applyAlignment="1">
      <alignment horizontal="center"/>
    </xf>
    <xf numFmtId="0" fontId="15" fillId="17" borderId="0" xfId="5" applyFill="1"/>
    <xf numFmtId="0" fontId="11" fillId="16" borderId="55" xfId="0" applyFont="1" applyFill="1" applyBorder="1" applyAlignment="1">
      <alignment horizontal="center"/>
    </xf>
    <xf numFmtId="0" fontId="11" fillId="16" borderId="56" xfId="0" applyFont="1" applyFill="1" applyBorder="1"/>
    <xf numFmtId="0" fontId="11" fillId="16" borderId="57" xfId="0" applyFont="1" applyFill="1" applyBorder="1" applyAlignment="1">
      <alignment horizontal="center"/>
    </xf>
    <xf numFmtId="0" fontId="11" fillId="16" borderId="56" xfId="0" applyFont="1" applyFill="1" applyBorder="1" applyAlignment="1">
      <alignment horizontal="center"/>
    </xf>
    <xf numFmtId="1" fontId="11" fillId="16" borderId="55" xfId="0" applyNumberFormat="1" applyFont="1" applyFill="1" applyBorder="1" applyAlignment="1">
      <alignment horizontal="center"/>
    </xf>
    <xf numFmtId="3" fontId="11" fillId="16" borderId="57" xfId="0" applyNumberFormat="1" applyFont="1" applyFill="1" applyBorder="1" applyAlignment="1">
      <alignment horizontal="center"/>
    </xf>
    <xf numFmtId="1" fontId="11" fillId="0" borderId="54" xfId="0" applyNumberFormat="1" applyFont="1" applyBorder="1" applyAlignment="1">
      <alignment horizontal="center"/>
    </xf>
    <xf numFmtId="46" fontId="11" fillId="16" borderId="57" xfId="0" applyNumberFormat="1" applyFont="1" applyFill="1" applyBorder="1" applyAlignment="1">
      <alignment horizontal="center"/>
    </xf>
    <xf numFmtId="168" fontId="11" fillId="16" borderId="57" xfId="0" applyNumberFormat="1" applyFont="1" applyFill="1" applyBorder="1" applyAlignment="1">
      <alignment horizontal="center"/>
    </xf>
    <xf numFmtId="169" fontId="11" fillId="16" borderId="54" xfId="3" applyNumberFormat="1" applyFont="1" applyFill="1" applyBorder="1" applyAlignment="1">
      <alignment horizontal="center"/>
    </xf>
    <xf numFmtId="46" fontId="11" fillId="16" borderId="55" xfId="0" applyNumberFormat="1" applyFont="1" applyFill="1" applyBorder="1" applyAlignment="1">
      <alignment horizontal="center"/>
    </xf>
    <xf numFmtId="46" fontId="11" fillId="16" borderId="56" xfId="0" applyNumberFormat="1" applyFont="1" applyFill="1" applyBorder="1" applyAlignment="1">
      <alignment horizontal="center"/>
    </xf>
    <xf numFmtId="46" fontId="11" fillId="16" borderId="54" xfId="0" applyNumberFormat="1" applyFont="1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7" fillId="4" borderId="25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8" fillId="4" borderId="16" xfId="4" applyFill="1" applyBorder="1" applyAlignment="1">
      <alignment horizontal="left" vertical="center" wrapText="1"/>
    </xf>
    <xf numFmtId="0" fontId="8" fillId="4" borderId="19" xfId="4" applyFill="1" applyBorder="1" applyAlignment="1">
      <alignment horizontal="left" vertical="center" wrapText="1"/>
    </xf>
    <xf numFmtId="0" fontId="8" fillId="4" borderId="22" xfId="4" applyFill="1" applyBorder="1" applyAlignment="1">
      <alignment horizontal="left" vertical="center" wrapText="1"/>
    </xf>
    <xf numFmtId="0" fontId="8" fillId="4" borderId="23" xfId="4" applyFill="1" applyBorder="1" applyAlignment="1">
      <alignment horizontal="left" vertical="center" wrapText="1"/>
    </xf>
    <xf numFmtId="1" fontId="6" fillId="4" borderId="25" xfId="0" applyNumberFormat="1" applyFont="1" applyFill="1" applyBorder="1" applyAlignment="1">
      <alignment horizontal="left" vertical="center" wrapText="1"/>
    </xf>
    <xf numFmtId="1" fontId="6" fillId="4" borderId="19" xfId="0" applyNumberFormat="1" applyFont="1" applyFill="1" applyBorder="1" applyAlignment="1">
      <alignment horizontal="left" vertical="center" wrapText="1"/>
    </xf>
    <xf numFmtId="1" fontId="6" fillId="4" borderId="16" xfId="0" applyNumberFormat="1" applyFont="1" applyFill="1" applyBorder="1" applyAlignment="1">
      <alignment horizontal="left" vertical="center" wrapText="1"/>
    </xf>
    <xf numFmtId="1" fontId="6" fillId="4" borderId="21" xfId="0" applyNumberFormat="1" applyFont="1" applyFill="1" applyBorder="1" applyAlignment="1">
      <alignment horizontal="left" vertical="center" wrapText="1"/>
    </xf>
    <xf numFmtId="20" fontId="6" fillId="4" borderId="16" xfId="0" applyNumberFormat="1" applyFont="1" applyFill="1" applyBorder="1" applyAlignment="1">
      <alignment horizontal="left" vertical="center" wrapText="1"/>
    </xf>
    <xf numFmtId="20" fontId="6" fillId="4" borderId="19" xfId="0" applyNumberFormat="1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8" fillId="4" borderId="21" xfId="4" applyFill="1" applyBorder="1" applyAlignment="1">
      <alignment horizontal="left" vertical="center" wrapText="1"/>
    </xf>
    <xf numFmtId="0" fontId="8" fillId="4" borderId="38" xfId="4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42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8" fillId="4" borderId="39" xfId="4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left" vertical="center" wrapText="1"/>
    </xf>
    <xf numFmtId="20" fontId="6" fillId="4" borderId="21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41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20" fontId="6" fillId="4" borderId="25" xfId="0" applyNumberFormat="1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8" fillId="4" borderId="25" xfId="4" applyFill="1" applyBorder="1" applyAlignment="1">
      <alignment horizontal="left" vertical="center" wrapText="1"/>
    </xf>
    <xf numFmtId="0" fontId="8" fillId="5" borderId="43" xfId="4" applyFill="1" applyBorder="1" applyAlignment="1">
      <alignment horizontal="left" vertical="center" wrapText="1"/>
    </xf>
    <xf numFmtId="0" fontId="8" fillId="5" borderId="44" xfId="4" applyFill="1" applyBorder="1" applyAlignment="1">
      <alignment horizontal="left" vertical="center" wrapText="1"/>
    </xf>
    <xf numFmtId="0" fontId="8" fillId="5" borderId="29" xfId="4" applyFill="1" applyBorder="1" applyAlignment="1">
      <alignment horizontal="left" vertical="center" wrapText="1"/>
    </xf>
    <xf numFmtId="14" fontId="6" fillId="4" borderId="16" xfId="0" applyNumberFormat="1" applyFont="1" applyFill="1" applyBorder="1" applyAlignment="1">
      <alignment horizontal="left" vertical="center" wrapText="1"/>
    </xf>
    <xf numFmtId="14" fontId="6" fillId="4" borderId="19" xfId="0" applyNumberFormat="1" applyFont="1" applyFill="1" applyBorder="1" applyAlignment="1">
      <alignment horizontal="left" vertical="center" wrapText="1"/>
    </xf>
    <xf numFmtId="0" fontId="8" fillId="5" borderId="16" xfId="4" applyFill="1" applyBorder="1" applyAlignment="1">
      <alignment horizontal="left" vertical="center" wrapText="1"/>
    </xf>
    <xf numFmtId="0" fontId="8" fillId="5" borderId="19" xfId="4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14" fontId="6" fillId="4" borderId="21" xfId="0" applyNumberFormat="1" applyFont="1" applyFill="1" applyBorder="1" applyAlignment="1">
      <alignment horizontal="left" vertical="center" wrapText="1"/>
    </xf>
    <xf numFmtId="0" fontId="8" fillId="5" borderId="21" xfId="4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left" vertical="center" wrapText="1"/>
    </xf>
    <xf numFmtId="0" fontId="16" fillId="10" borderId="0" xfId="5" applyFont="1" applyFill="1" applyAlignment="1">
      <alignment horizontal="center" wrapText="1"/>
    </xf>
    <xf numFmtId="0" fontId="15" fillId="0" borderId="33" xfId="5" applyBorder="1" applyAlignment="1">
      <alignment horizontal="center" wrapText="1"/>
    </xf>
    <xf numFmtId="0" fontId="15" fillId="0" borderId="35" xfId="5" applyBorder="1" applyAlignment="1">
      <alignment horizontal="center" wrapText="1"/>
    </xf>
    <xf numFmtId="0" fontId="16" fillId="10" borderId="0" xfId="5" applyFont="1" applyFill="1" applyAlignment="1">
      <alignment horizontal="center"/>
    </xf>
    <xf numFmtId="0" fontId="15" fillId="0" borderId="33" xfId="5" applyBorder="1" applyAlignment="1">
      <alignment horizontal="center"/>
    </xf>
    <xf numFmtId="0" fontId="15" fillId="0" borderId="35" xfId="5" applyBorder="1" applyAlignment="1">
      <alignment horizontal="center"/>
    </xf>
    <xf numFmtId="0" fontId="0" fillId="12" borderId="8" xfId="0" applyFill="1" applyBorder="1" applyAlignment="1">
      <alignment horizontal="center"/>
    </xf>
  </cellXfs>
  <cellStyles count="7">
    <cellStyle name="Good" xfId="1" builtinId="26"/>
    <cellStyle name="Hyperlink" xfId="4" builtinId="8"/>
    <cellStyle name="Hyperlink 2" xfId="6" xr:uid="{C6A87172-6BB8-4007-8074-33BDD58A665B}"/>
    <cellStyle name="Input" xfId="2" builtinId="20"/>
    <cellStyle name="Normal" xfId="0" builtinId="0"/>
    <cellStyle name="Normal 2" xfId="5" xr:uid="{80B7A0FE-663A-4D75-A12C-0A92F0F94184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connect.garmin.com/activity/380080000" TargetMode="External"/><Relationship Id="rId2" Type="http://schemas.openxmlformats.org/officeDocument/2006/relationships/hyperlink" Target="http://connect.garmin.com/activity/380080073" TargetMode="External"/><Relationship Id="rId1" Type="http://schemas.openxmlformats.org/officeDocument/2006/relationships/hyperlink" Target="http://connect.garmin.com/activity/380080163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connect.garmin.com/activity/380079869" TargetMode="External"/><Relationship Id="rId4" Type="http://schemas.openxmlformats.org/officeDocument/2006/relationships/hyperlink" Target="http://connect.garmin.com/activity/38007994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connect.garmin.com/activity/586143296" TargetMode="External"/><Relationship Id="rId13" Type="http://schemas.openxmlformats.org/officeDocument/2006/relationships/hyperlink" Target="http://connect.garmin.com/activity/586148643" TargetMode="External"/><Relationship Id="rId3" Type="http://schemas.openxmlformats.org/officeDocument/2006/relationships/hyperlink" Target="http://connect.garmin.com/activity/586143697" TargetMode="External"/><Relationship Id="rId7" Type="http://schemas.openxmlformats.org/officeDocument/2006/relationships/hyperlink" Target="http://www.strava.com/activities/191790129" TargetMode="External"/><Relationship Id="rId12" Type="http://schemas.openxmlformats.org/officeDocument/2006/relationships/hyperlink" Target="http://www.strava.com/activities/191789714" TargetMode="External"/><Relationship Id="rId2" Type="http://schemas.openxmlformats.org/officeDocument/2006/relationships/hyperlink" Target="http://www.strava.com/activities/191794347" TargetMode="External"/><Relationship Id="rId1" Type="http://schemas.openxmlformats.org/officeDocument/2006/relationships/hyperlink" Target="http://connect.garmin.com/activity/586144014" TargetMode="External"/><Relationship Id="rId6" Type="http://schemas.openxmlformats.org/officeDocument/2006/relationships/hyperlink" Target="http://connect.garmin.com/activity/586143478" TargetMode="External"/><Relationship Id="rId11" Type="http://schemas.openxmlformats.org/officeDocument/2006/relationships/hyperlink" Target="http://connect.garmin.com/activity/586143074" TargetMode="External"/><Relationship Id="rId5" Type="http://schemas.openxmlformats.org/officeDocument/2006/relationships/hyperlink" Target="http://en.wikipedia.org/wiki/Stelvio_Pass" TargetMode="External"/><Relationship Id="rId10" Type="http://schemas.openxmlformats.org/officeDocument/2006/relationships/hyperlink" Target="http://en.wikipedia.org/wiki/Simplon_Pass" TargetMode="External"/><Relationship Id="rId4" Type="http://schemas.openxmlformats.org/officeDocument/2006/relationships/hyperlink" Target="http://www.strava.com/activities/191794216/" TargetMode="External"/><Relationship Id="rId9" Type="http://schemas.openxmlformats.org/officeDocument/2006/relationships/hyperlink" Target="http://www.strava.com/activities/191789910" TargetMode="External"/><Relationship Id="rId14" Type="http://schemas.openxmlformats.org/officeDocument/2006/relationships/hyperlink" Target="http://www.strava.com/activities/19178952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psies.com/map.do?fileId=dchporjpxhnilxej" TargetMode="External"/><Relationship Id="rId13" Type="http://schemas.openxmlformats.org/officeDocument/2006/relationships/hyperlink" Target="https://connect.garmin.com/modern/activity/888575440" TargetMode="External"/><Relationship Id="rId3" Type="http://schemas.openxmlformats.org/officeDocument/2006/relationships/hyperlink" Target="https://connect.garmin.com/modern/activity/883681397" TargetMode="External"/><Relationship Id="rId7" Type="http://schemas.openxmlformats.org/officeDocument/2006/relationships/hyperlink" Target="https://connect.garmin.com/modern/activity/885920339" TargetMode="External"/><Relationship Id="rId12" Type="http://schemas.openxmlformats.org/officeDocument/2006/relationships/hyperlink" Target="http://www.gpsies.com/map.do;jsessionid=2399F26F515FD835E39A5CBE9F20C59F?fileId=fuwetbtxngsxzjng" TargetMode="External"/><Relationship Id="rId2" Type="http://schemas.openxmlformats.org/officeDocument/2006/relationships/hyperlink" Target="http://www.gpsies.com/map.do?fileId=tmwmbdytgaoyjjqb" TargetMode="External"/><Relationship Id="rId1" Type="http://schemas.openxmlformats.org/officeDocument/2006/relationships/hyperlink" Target="https://connect.garmin.com/modern/activity/882581897" TargetMode="External"/><Relationship Id="rId6" Type="http://schemas.openxmlformats.org/officeDocument/2006/relationships/hyperlink" Target="http://www.gpsies.com/map.do?fileId=nkswxkfjrgutwftj" TargetMode="External"/><Relationship Id="rId11" Type="http://schemas.openxmlformats.org/officeDocument/2006/relationships/hyperlink" Target="https://connect.garmin.com/modern/activity/887785291" TargetMode="External"/><Relationship Id="rId5" Type="http://schemas.openxmlformats.org/officeDocument/2006/relationships/hyperlink" Target="https://connect.garmin.com/modern/activity/884808435" TargetMode="External"/><Relationship Id="rId10" Type="http://schemas.openxmlformats.org/officeDocument/2006/relationships/hyperlink" Target="http://www.gpsies.com/map.do?fileId=lakgbuxdpqqoavlc" TargetMode="External"/><Relationship Id="rId4" Type="http://schemas.openxmlformats.org/officeDocument/2006/relationships/hyperlink" Target="http://www.gpsies.com/map.do?fileId=fuydhwgsbaptnvrs" TargetMode="External"/><Relationship Id="rId9" Type="http://schemas.openxmlformats.org/officeDocument/2006/relationships/hyperlink" Target="https://connect.garmin.com/modern/activity/886853645" TargetMode="External"/><Relationship Id="rId14" Type="http://schemas.openxmlformats.org/officeDocument/2006/relationships/hyperlink" Target="http://www.gpsies.com/map.do?fileId=typlnthlpulhjqeo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ava.com/activities/740218678" TargetMode="External"/><Relationship Id="rId13" Type="http://schemas.openxmlformats.org/officeDocument/2006/relationships/hyperlink" Target="https://www.strava.com/activities/740218870" TargetMode="External"/><Relationship Id="rId3" Type="http://schemas.openxmlformats.org/officeDocument/2006/relationships/hyperlink" Target="https://www.facebook.com/john.bertrand.370/videos/10211092810386205/" TargetMode="External"/><Relationship Id="rId7" Type="http://schemas.openxmlformats.org/officeDocument/2006/relationships/hyperlink" Target="https://www.facebook.com/john.bertrand.370/videos/10211113031091710/" TargetMode="External"/><Relationship Id="rId12" Type="http://schemas.openxmlformats.org/officeDocument/2006/relationships/hyperlink" Target="https://www.facebook.com/john.bertrand.370/videos/10211177060532406/" TargetMode="External"/><Relationship Id="rId2" Type="http://schemas.openxmlformats.org/officeDocument/2006/relationships/hyperlink" Target="https://www.strava.com/activities/740253006" TargetMode="External"/><Relationship Id="rId1" Type="http://schemas.openxmlformats.org/officeDocument/2006/relationships/hyperlink" Target="https://www.facebook.com/john.bertrand.370/videos/10211087358489911/" TargetMode="External"/><Relationship Id="rId6" Type="http://schemas.openxmlformats.org/officeDocument/2006/relationships/hyperlink" Target="https://www.strava.com/activities/740218674" TargetMode="External"/><Relationship Id="rId11" Type="http://schemas.openxmlformats.org/officeDocument/2006/relationships/hyperlink" Target="https://www.strava.com/activities/740218743" TargetMode="External"/><Relationship Id="rId5" Type="http://schemas.openxmlformats.org/officeDocument/2006/relationships/hyperlink" Target="https://www.facebook.com/john.bertrand.370/videos/10211110444067036/" TargetMode="External"/><Relationship Id="rId10" Type="http://schemas.openxmlformats.org/officeDocument/2006/relationships/hyperlink" Target="https://www.facebook.com/john.bertrand.370/videos/10211137345419553/" TargetMode="External"/><Relationship Id="rId4" Type="http://schemas.openxmlformats.org/officeDocument/2006/relationships/hyperlink" Target="https://www.strava.com/activities/740218540" TargetMode="External"/><Relationship Id="rId9" Type="http://schemas.openxmlformats.org/officeDocument/2006/relationships/hyperlink" Target="https://www.strava.com/activities/740218782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ava.com/activities/1179009050" TargetMode="External"/><Relationship Id="rId3" Type="http://schemas.openxmlformats.org/officeDocument/2006/relationships/hyperlink" Target="https://www.strava.com/activities/934593293" TargetMode="External"/><Relationship Id="rId7" Type="http://schemas.openxmlformats.org/officeDocument/2006/relationships/hyperlink" Target="https://www.strava.com/activities/1177566704" TargetMode="External"/><Relationship Id="rId2" Type="http://schemas.openxmlformats.org/officeDocument/2006/relationships/hyperlink" Target="https://www.strava.com/activities/933210368" TargetMode="External"/><Relationship Id="rId1" Type="http://schemas.openxmlformats.org/officeDocument/2006/relationships/hyperlink" Target="https://www.strava.com/activities/931736732" TargetMode="External"/><Relationship Id="rId6" Type="http://schemas.openxmlformats.org/officeDocument/2006/relationships/hyperlink" Target="https://www.strava.com/activities/1175876876" TargetMode="External"/><Relationship Id="rId5" Type="http://schemas.openxmlformats.org/officeDocument/2006/relationships/hyperlink" Target="https://www.strava.com/activities/1174265438" TargetMode="External"/><Relationship Id="rId4" Type="http://schemas.openxmlformats.org/officeDocument/2006/relationships/hyperlink" Target="https://www.strava.com/activities/935982027" TargetMode="External"/><Relationship Id="rId9" Type="http://schemas.openxmlformats.org/officeDocument/2006/relationships/hyperlink" Target="https://www.strava.com/activities/118044379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connect.garmin.com/modern/activity/4048789429" TargetMode="External"/><Relationship Id="rId2" Type="http://schemas.openxmlformats.org/officeDocument/2006/relationships/hyperlink" Target="https://connect.garmin.com/modern/activity/4038871476" TargetMode="External"/><Relationship Id="rId1" Type="http://schemas.openxmlformats.org/officeDocument/2006/relationships/hyperlink" Target="https://connect.garmin.com/modern/activity/4041750002" TargetMode="External"/><Relationship Id="rId6" Type="http://schemas.openxmlformats.org/officeDocument/2006/relationships/hyperlink" Target="https://connect.garmin.com/modern/activity/4055123401" TargetMode="External"/><Relationship Id="rId5" Type="http://schemas.openxmlformats.org/officeDocument/2006/relationships/hyperlink" Target="https://connect.garmin.com/modern/activity/4048792167" TargetMode="External"/><Relationship Id="rId4" Type="http://schemas.openxmlformats.org/officeDocument/2006/relationships/hyperlink" Target="https://connect.garmin.com/modern/activity/4052454765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rava.com/activities/5949134509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connect.garmin.com/modern/course/73565552" TargetMode="External"/><Relationship Id="rId7" Type="http://schemas.openxmlformats.org/officeDocument/2006/relationships/hyperlink" Target="https://connect.garmin.com/modern/course/73577179" TargetMode="External"/><Relationship Id="rId12" Type="http://schemas.openxmlformats.org/officeDocument/2006/relationships/hyperlink" Target="https://www.strava.com/activities/5975059011" TargetMode="External"/><Relationship Id="rId2" Type="http://schemas.openxmlformats.org/officeDocument/2006/relationships/hyperlink" Target="https://connect.garmin.com/modern/course/73563504" TargetMode="External"/><Relationship Id="rId1" Type="http://schemas.openxmlformats.org/officeDocument/2006/relationships/hyperlink" Target="https://connect.garmin.com/modern/course/73094625" TargetMode="External"/><Relationship Id="rId6" Type="http://schemas.openxmlformats.org/officeDocument/2006/relationships/hyperlink" Target="https://connect.garmin.com/modern/course/73573616" TargetMode="External"/><Relationship Id="rId11" Type="http://schemas.openxmlformats.org/officeDocument/2006/relationships/hyperlink" Target="https://www.strava.com/activities/5964622596" TargetMode="External"/><Relationship Id="rId5" Type="http://schemas.openxmlformats.org/officeDocument/2006/relationships/hyperlink" Target="https://connect.garmin.com/modern/course/73570449" TargetMode="External"/><Relationship Id="rId10" Type="http://schemas.openxmlformats.org/officeDocument/2006/relationships/hyperlink" Target="https://www.strava.com/activities/5958444814" TargetMode="External"/><Relationship Id="rId4" Type="http://schemas.openxmlformats.org/officeDocument/2006/relationships/hyperlink" Target="https://connect.garmin.com/modern/course/73566972" TargetMode="External"/><Relationship Id="rId9" Type="http://schemas.openxmlformats.org/officeDocument/2006/relationships/hyperlink" Target="https://www.strava.com/activities/5953552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D898-C627-4623-9F28-EB2934F7D73B}">
  <dimension ref="A1:AT28"/>
  <sheetViews>
    <sheetView tabSelected="1" workbookViewId="0">
      <selection activeCell="K6" sqref="K6"/>
    </sheetView>
  </sheetViews>
  <sheetFormatPr defaultRowHeight="15" x14ac:dyDescent="0.25"/>
  <cols>
    <col min="1" max="1" width="9.28515625" style="146" bestFit="1" customWidth="1"/>
    <col min="2" max="2" width="24" customWidth="1"/>
    <col min="3" max="3" width="8.7109375" style="146" customWidth="1"/>
    <col min="4" max="4" width="10.28515625" style="146" customWidth="1"/>
    <col min="5" max="5" width="8.7109375" style="146" customWidth="1"/>
    <col min="6" max="7" width="10" style="146" customWidth="1"/>
    <col min="8" max="15" width="11" style="146" customWidth="1"/>
    <col min="16" max="16" width="14.42578125" style="146" customWidth="1"/>
    <col min="17" max="17" width="11" style="146" customWidth="1"/>
    <col min="18" max="18" width="12.42578125" style="146" customWidth="1"/>
    <col min="19" max="19" width="12.140625" customWidth="1"/>
    <col min="20" max="31" width="3.85546875" customWidth="1"/>
    <col min="32" max="32" width="3.5703125" customWidth="1"/>
    <col min="33" max="38" width="3.85546875" customWidth="1"/>
    <col min="39" max="39" width="3.7109375" customWidth="1"/>
    <col min="40" max="42" width="4" customWidth="1"/>
    <col min="43" max="43" width="3.5703125" customWidth="1"/>
    <col min="44" max="44" width="3.7109375" customWidth="1"/>
  </cols>
  <sheetData>
    <row r="1" spans="1:46" ht="15.75" thickBot="1" x14ac:dyDescent="0.3">
      <c r="A1" s="148"/>
      <c r="B1" s="77"/>
      <c r="C1" s="148"/>
      <c r="D1" s="176"/>
      <c r="E1" s="177"/>
      <c r="F1" s="176"/>
      <c r="G1" s="176"/>
      <c r="H1" s="170" t="s">
        <v>13</v>
      </c>
      <c r="I1" s="171"/>
      <c r="J1" s="171"/>
      <c r="K1" s="171"/>
      <c r="L1" s="172"/>
      <c r="M1" s="162" t="s">
        <v>200</v>
      </c>
      <c r="N1" s="163"/>
      <c r="O1" s="163"/>
      <c r="P1" s="163"/>
      <c r="Q1" s="163"/>
      <c r="R1" s="164"/>
      <c r="S1" s="163"/>
      <c r="T1" s="183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77"/>
    </row>
    <row r="2" spans="1:46" ht="73.5" customHeight="1" thickBot="1" x14ac:dyDescent="0.3">
      <c r="A2" s="174" t="s">
        <v>164</v>
      </c>
      <c r="B2" s="181" t="s">
        <v>165</v>
      </c>
      <c r="C2" s="192" t="s">
        <v>147</v>
      </c>
      <c r="D2" s="153" t="s">
        <v>197</v>
      </c>
      <c r="E2" s="193" t="s">
        <v>166</v>
      </c>
      <c r="F2" s="153" t="s">
        <v>298</v>
      </c>
      <c r="G2" s="153" t="s">
        <v>300</v>
      </c>
      <c r="H2" s="192" t="s">
        <v>227</v>
      </c>
      <c r="I2" s="153" t="s">
        <v>202</v>
      </c>
      <c r="J2" s="153" t="s">
        <v>295</v>
      </c>
      <c r="K2" s="153" t="s">
        <v>5</v>
      </c>
      <c r="L2" s="193" t="s">
        <v>33</v>
      </c>
      <c r="M2" s="287" t="s">
        <v>227</v>
      </c>
      <c r="N2" s="286" t="s">
        <v>202</v>
      </c>
      <c r="O2" s="286" t="s">
        <v>296</v>
      </c>
      <c r="P2" s="286" t="s">
        <v>322</v>
      </c>
      <c r="Q2" s="286" t="s">
        <v>5</v>
      </c>
      <c r="R2" s="286" t="s">
        <v>33</v>
      </c>
      <c r="S2" s="289" t="s">
        <v>201</v>
      </c>
      <c r="T2" s="194" t="s">
        <v>176</v>
      </c>
      <c r="U2" s="195" t="s">
        <v>177</v>
      </c>
      <c r="V2" s="195" t="s">
        <v>178</v>
      </c>
      <c r="W2" s="195" t="s">
        <v>180</v>
      </c>
      <c r="X2" s="195" t="s">
        <v>188</v>
      </c>
      <c r="Y2" s="195" t="s">
        <v>179</v>
      </c>
      <c r="Z2" s="195" t="s">
        <v>184</v>
      </c>
      <c r="AA2" s="195" t="s">
        <v>174</v>
      </c>
      <c r="AB2" s="195" t="s">
        <v>175</v>
      </c>
      <c r="AC2" s="195" t="s">
        <v>181</v>
      </c>
      <c r="AD2" s="195" t="s">
        <v>186</v>
      </c>
      <c r="AE2" s="195" t="s">
        <v>185</v>
      </c>
      <c r="AF2" s="195" t="s">
        <v>187</v>
      </c>
      <c r="AG2" s="195" t="s">
        <v>190</v>
      </c>
      <c r="AH2" s="195" t="s">
        <v>206</v>
      </c>
      <c r="AI2" s="195" t="s">
        <v>207</v>
      </c>
      <c r="AJ2" s="195" t="s">
        <v>182</v>
      </c>
      <c r="AK2" s="195" t="s">
        <v>183</v>
      </c>
      <c r="AL2" s="195" t="s">
        <v>195</v>
      </c>
      <c r="AM2" s="195" t="s">
        <v>196</v>
      </c>
      <c r="AN2" s="195" t="s">
        <v>189</v>
      </c>
      <c r="AO2" s="195" t="s">
        <v>191</v>
      </c>
      <c r="AP2" s="195" t="s">
        <v>192</v>
      </c>
      <c r="AQ2" s="195" t="s">
        <v>193</v>
      </c>
      <c r="AR2" s="196" t="s">
        <v>194</v>
      </c>
    </row>
    <row r="3" spans="1:46" x14ac:dyDescent="0.25">
      <c r="A3" s="173">
        <v>2012</v>
      </c>
      <c r="B3" s="180" t="s">
        <v>167</v>
      </c>
      <c r="C3" s="173">
        <v>6</v>
      </c>
      <c r="D3" s="154">
        <v>5</v>
      </c>
      <c r="E3" s="178">
        <v>7</v>
      </c>
      <c r="F3" s="154">
        <v>2</v>
      </c>
      <c r="G3" s="178">
        <f>E3/F3</f>
        <v>3.5</v>
      </c>
      <c r="H3" s="201">
        <f>'2012 - N2G'!F9*1.6</f>
        <v>586.99200000000008</v>
      </c>
      <c r="I3" s="202">
        <f>'2012 - N2G'!G9</f>
        <v>13674</v>
      </c>
      <c r="J3" s="276">
        <f>I3/H3</f>
        <v>23.295036388911601</v>
      </c>
      <c r="K3" s="203">
        <f>'2012 - N2G'!H9</f>
        <v>1.5930555555555554</v>
      </c>
      <c r="L3" s="203">
        <f>'2012 - N2G'!I9</f>
        <v>1.1881944444444446</v>
      </c>
      <c r="M3" s="201">
        <f>H3/D3</f>
        <v>117.39840000000001</v>
      </c>
      <c r="N3" s="202">
        <f>I3/D3</f>
        <v>2734.8</v>
      </c>
      <c r="O3" s="283">
        <f>M3/5.72</f>
        <v>20.524195804195806</v>
      </c>
      <c r="P3" s="336">
        <f>(J3*(O3))/419</f>
        <v>1.1410784919138142</v>
      </c>
      <c r="Q3" s="340">
        <f t="shared" ref="Q3:Q10" si="0">K3/D3</f>
        <v>0.31861111111111107</v>
      </c>
      <c r="R3" s="341">
        <f t="shared" ref="R3:R10" si="1">L3/D3</f>
        <v>0.2376388888888889</v>
      </c>
      <c r="S3" s="198">
        <f>Q3-R3</f>
        <v>8.0972222222222168E-2</v>
      </c>
      <c r="T3" s="331">
        <v>1</v>
      </c>
      <c r="U3" s="332">
        <v>1</v>
      </c>
      <c r="V3" s="332">
        <v>1</v>
      </c>
      <c r="W3" s="332">
        <v>1</v>
      </c>
      <c r="X3" s="176"/>
      <c r="Y3" s="332">
        <v>1</v>
      </c>
      <c r="Z3" s="176"/>
      <c r="AA3" s="333">
        <v>1</v>
      </c>
      <c r="AB3" s="333">
        <v>1</v>
      </c>
      <c r="AC3" s="176"/>
      <c r="AD3" s="176"/>
      <c r="AE3" s="176"/>
      <c r="AF3" s="176"/>
      <c r="AG3" s="176"/>
      <c r="AH3" s="332">
        <v>1</v>
      </c>
      <c r="AI3" s="332">
        <v>1</v>
      </c>
      <c r="AJ3" s="176"/>
      <c r="AK3" s="176"/>
      <c r="AL3" s="176"/>
      <c r="AM3" s="176"/>
      <c r="AN3" s="176"/>
      <c r="AO3" s="176"/>
      <c r="AP3" s="176"/>
      <c r="AQ3" s="176"/>
      <c r="AR3" s="177"/>
      <c r="AS3" s="184" t="s">
        <v>205</v>
      </c>
    </row>
    <row r="4" spans="1:46" x14ac:dyDescent="0.25">
      <c r="A4" s="173">
        <v>2013</v>
      </c>
      <c r="B4" s="180" t="s">
        <v>168</v>
      </c>
      <c r="C4" s="173">
        <v>5</v>
      </c>
      <c r="D4" s="154">
        <v>4.5</v>
      </c>
      <c r="E4" s="178">
        <v>7</v>
      </c>
      <c r="F4" s="154">
        <v>1</v>
      </c>
      <c r="G4" s="178">
        <f t="shared" ref="G4:G11" si="2">E4/F4</f>
        <v>7</v>
      </c>
      <c r="H4" s="165">
        <f>'2013-Raid'!E8*1.6</f>
        <v>723.2</v>
      </c>
      <c r="I4" s="155">
        <f>'2013-Raid'!F8</f>
        <v>11923</v>
      </c>
      <c r="J4" s="277">
        <f t="shared" ref="J4:J10" si="3">I4/H4</f>
        <v>16.486449115044248</v>
      </c>
      <c r="K4" s="161">
        <f>'2013-Raid'!G8</f>
        <v>1.5430555555555556</v>
      </c>
      <c r="L4" s="161">
        <f>'2013-Raid'!H8</f>
        <v>1.1243055555555557</v>
      </c>
      <c r="M4" s="165">
        <f t="shared" ref="M4:M9" si="4">H4/D4</f>
        <v>160.71111111111111</v>
      </c>
      <c r="N4" s="155">
        <f t="shared" ref="N4:N9" si="5">I4/D4</f>
        <v>2649.5555555555557</v>
      </c>
      <c r="O4" s="282">
        <f>M4/6</f>
        <v>26.785185185185185</v>
      </c>
      <c r="P4" s="337">
        <f t="shared" ref="P4:P10" si="6">(J4*O4)/419</f>
        <v>1.0539202687174047</v>
      </c>
      <c r="Q4" s="342">
        <f t="shared" si="0"/>
        <v>0.34290123456790123</v>
      </c>
      <c r="R4" s="343">
        <f t="shared" si="1"/>
        <v>0.24984567901234569</v>
      </c>
      <c r="S4" s="199">
        <f t="shared" ref="S4:S9" si="7">Q4-R4</f>
        <v>9.305555555555553E-2</v>
      </c>
      <c r="T4" s="330">
        <v>1</v>
      </c>
      <c r="U4" s="185">
        <v>1</v>
      </c>
      <c r="V4" s="185">
        <v>1</v>
      </c>
      <c r="W4" s="185">
        <v>1</v>
      </c>
      <c r="X4" s="186"/>
      <c r="Y4" s="185">
        <v>1</v>
      </c>
      <c r="Z4" s="186"/>
      <c r="AA4" s="186"/>
      <c r="AB4" s="186"/>
      <c r="AC4" s="184">
        <v>1</v>
      </c>
      <c r="AD4" s="186"/>
      <c r="AE4" s="186"/>
      <c r="AF4" s="186"/>
      <c r="AG4" s="186"/>
      <c r="AH4" s="186"/>
      <c r="AI4" s="186"/>
      <c r="AJ4" s="185">
        <v>1</v>
      </c>
      <c r="AK4" s="185">
        <v>1</v>
      </c>
      <c r="AL4" s="186"/>
      <c r="AM4" s="186"/>
      <c r="AN4" s="186"/>
      <c r="AO4" s="186"/>
      <c r="AP4" s="186"/>
      <c r="AQ4" s="186"/>
      <c r="AR4" s="187"/>
      <c r="AS4" s="184" t="s">
        <v>205</v>
      </c>
    </row>
    <row r="5" spans="1:46" x14ac:dyDescent="0.25">
      <c r="A5" s="173">
        <v>2014</v>
      </c>
      <c r="B5" s="180" t="s">
        <v>169</v>
      </c>
      <c r="C5" s="173">
        <v>6</v>
      </c>
      <c r="D5" s="154">
        <v>5.5</v>
      </c>
      <c r="E5" s="178">
        <v>8</v>
      </c>
      <c r="F5" s="154">
        <v>2</v>
      </c>
      <c r="G5" s="178">
        <f t="shared" si="2"/>
        <v>4</v>
      </c>
      <c r="H5" s="165">
        <f>'2014 - Dolomiti'!E16*1.6</f>
        <v>835</v>
      </c>
      <c r="I5" s="155">
        <f>'2014 - Dolomiti'!F16</f>
        <v>13627</v>
      </c>
      <c r="J5" s="277">
        <f t="shared" si="3"/>
        <v>16.319760479041918</v>
      </c>
      <c r="K5" s="161">
        <f>'2014 - Dolomiti'!G16</f>
        <v>1.7055555555555555</v>
      </c>
      <c r="L5" s="161">
        <f>'2014 - Dolomiti'!H16</f>
        <v>1.4125000000000001</v>
      </c>
      <c r="M5" s="165">
        <f t="shared" si="4"/>
        <v>151.81818181818181</v>
      </c>
      <c r="N5" s="155">
        <f t="shared" si="5"/>
        <v>2477.6363636363635</v>
      </c>
      <c r="O5" s="282">
        <f>M5/6.16</f>
        <v>24.645808736717825</v>
      </c>
      <c r="P5" s="337">
        <f t="shared" si="6"/>
        <v>0.95993722051435226</v>
      </c>
      <c r="Q5" s="342">
        <f t="shared" si="0"/>
        <v>0.3101010101010101</v>
      </c>
      <c r="R5" s="343">
        <f t="shared" si="1"/>
        <v>0.25681818181818183</v>
      </c>
      <c r="S5" s="199">
        <f t="shared" si="7"/>
        <v>5.3282828282828265E-2</v>
      </c>
      <c r="T5" s="330">
        <v>1</v>
      </c>
      <c r="U5" s="185">
        <v>1</v>
      </c>
      <c r="V5" s="185">
        <v>1</v>
      </c>
      <c r="W5" s="185">
        <v>1</v>
      </c>
      <c r="X5" s="186"/>
      <c r="Y5" s="185">
        <v>1</v>
      </c>
      <c r="Z5" s="185">
        <v>1</v>
      </c>
      <c r="AA5" s="186"/>
      <c r="AB5" s="186"/>
      <c r="AC5" s="184">
        <v>1</v>
      </c>
      <c r="AD5" s="184">
        <v>1</v>
      </c>
      <c r="AE5" s="185">
        <v>1</v>
      </c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7"/>
      <c r="AS5" s="184" t="s">
        <v>205</v>
      </c>
    </row>
    <row r="6" spans="1:46" x14ac:dyDescent="0.25">
      <c r="A6" s="346">
        <v>2015</v>
      </c>
      <c r="B6" s="347" t="s">
        <v>170</v>
      </c>
      <c r="C6" s="346">
        <v>7</v>
      </c>
      <c r="D6" s="348">
        <v>7</v>
      </c>
      <c r="E6" s="349">
        <v>9</v>
      </c>
      <c r="F6" s="348">
        <v>2</v>
      </c>
      <c r="G6" s="349">
        <f t="shared" si="2"/>
        <v>4.5</v>
      </c>
      <c r="H6" s="350">
        <f>'2015-ToGC'!F15*1.6</f>
        <v>910</v>
      </c>
      <c r="I6" s="351">
        <f>'2015-ToGC'!H15</f>
        <v>22242</v>
      </c>
      <c r="J6" s="352">
        <f t="shared" si="3"/>
        <v>24.44175824175824</v>
      </c>
      <c r="K6" s="353">
        <f>'2015-ToGC'!I15</f>
        <v>2.4743055555555555</v>
      </c>
      <c r="L6" s="353">
        <f>'2015-ToGC'!J15</f>
        <v>1.8701388888888888</v>
      </c>
      <c r="M6" s="350">
        <f t="shared" si="4"/>
        <v>130</v>
      </c>
      <c r="N6" s="351">
        <f t="shared" si="5"/>
        <v>3177.4285714285716</v>
      </c>
      <c r="O6" s="354">
        <f>M6/6.25</f>
        <v>20.8</v>
      </c>
      <c r="P6" s="355">
        <f t="shared" si="6"/>
        <v>1.2133378793044665</v>
      </c>
      <c r="Q6" s="356">
        <f t="shared" si="0"/>
        <v>0.35347222222222224</v>
      </c>
      <c r="R6" s="357">
        <f t="shared" si="1"/>
        <v>0.26716269841269841</v>
      </c>
      <c r="S6" s="358">
        <f t="shared" si="7"/>
        <v>8.6309523809523836E-2</v>
      </c>
      <c r="T6" s="359">
        <v>1</v>
      </c>
      <c r="U6" s="360">
        <v>1</v>
      </c>
      <c r="V6" s="360">
        <v>1</v>
      </c>
      <c r="W6" s="360">
        <v>1</v>
      </c>
      <c r="X6" s="361"/>
      <c r="Y6" s="360">
        <v>1</v>
      </c>
      <c r="Z6" s="360">
        <v>1</v>
      </c>
      <c r="AA6" s="361"/>
      <c r="AB6" s="361"/>
      <c r="AC6" s="362">
        <v>1</v>
      </c>
      <c r="AD6" s="362">
        <v>1</v>
      </c>
      <c r="AE6" s="360">
        <v>1</v>
      </c>
      <c r="AF6" s="361"/>
      <c r="AG6" s="361"/>
      <c r="AH6" s="361"/>
      <c r="AI6" s="361"/>
      <c r="AJ6" s="361"/>
      <c r="AK6" s="361"/>
      <c r="AL6" s="360">
        <v>1</v>
      </c>
      <c r="AM6" s="361"/>
      <c r="AN6" s="361"/>
      <c r="AO6" s="361"/>
      <c r="AP6" s="361"/>
      <c r="AQ6" s="361"/>
      <c r="AR6" s="363"/>
      <c r="AS6" s="184" t="s">
        <v>205</v>
      </c>
    </row>
    <row r="7" spans="1:46" x14ac:dyDescent="0.25">
      <c r="A7" s="173">
        <v>2016</v>
      </c>
      <c r="B7" s="180" t="s">
        <v>173</v>
      </c>
      <c r="C7" s="173">
        <v>7</v>
      </c>
      <c r="D7" s="154">
        <v>7</v>
      </c>
      <c r="E7" s="178">
        <v>8</v>
      </c>
      <c r="F7" s="154">
        <v>1</v>
      </c>
      <c r="G7" s="178">
        <f t="shared" si="2"/>
        <v>8</v>
      </c>
      <c r="H7" s="165">
        <f>'2016- G2R'!G14*1.6</f>
        <v>995.2</v>
      </c>
      <c r="I7" s="155">
        <f>'2016- G2R'!H14</f>
        <v>14277</v>
      </c>
      <c r="J7" s="277">
        <f t="shared" si="3"/>
        <v>14.345860128617362</v>
      </c>
      <c r="K7" s="161">
        <f>'2016- G2R'!I14</f>
        <v>2.0798611111111112</v>
      </c>
      <c r="L7" s="161">
        <f>'2016- G2R'!J14</f>
        <v>1.5993055555555558</v>
      </c>
      <c r="M7" s="165">
        <f t="shared" si="4"/>
        <v>142.17142857142858</v>
      </c>
      <c r="N7" s="155">
        <f t="shared" si="5"/>
        <v>2039.5714285714287</v>
      </c>
      <c r="O7" s="282">
        <f>M7/5.5</f>
        <v>25.849350649350651</v>
      </c>
      <c r="P7" s="337">
        <f t="shared" si="6"/>
        <v>0.8850385890958683</v>
      </c>
      <c r="Q7" s="342">
        <f t="shared" si="0"/>
        <v>0.29712301587301587</v>
      </c>
      <c r="R7" s="343">
        <f t="shared" si="1"/>
        <v>0.22847222222222224</v>
      </c>
      <c r="S7" s="199">
        <f t="shared" si="7"/>
        <v>6.8650793650793629E-2</v>
      </c>
      <c r="T7" s="330">
        <v>1</v>
      </c>
      <c r="U7" s="185">
        <v>1</v>
      </c>
      <c r="V7" s="185">
        <v>1</v>
      </c>
      <c r="W7" s="185">
        <v>1</v>
      </c>
      <c r="X7" s="186"/>
      <c r="Y7" s="185">
        <v>1</v>
      </c>
      <c r="Z7" s="185">
        <v>1</v>
      </c>
      <c r="AA7" s="204">
        <v>1</v>
      </c>
      <c r="AB7" s="204">
        <v>1</v>
      </c>
      <c r="AC7" s="184">
        <v>1</v>
      </c>
      <c r="AD7" s="204">
        <v>1</v>
      </c>
      <c r="AE7" s="186"/>
      <c r="AF7" s="185">
        <v>1</v>
      </c>
      <c r="AG7" s="186"/>
      <c r="AH7" s="186"/>
      <c r="AI7" s="186"/>
      <c r="AJ7" s="186"/>
      <c r="AK7" s="186"/>
      <c r="AL7" s="186"/>
      <c r="AM7" s="204">
        <v>1</v>
      </c>
      <c r="AN7" s="186"/>
      <c r="AO7" s="186"/>
      <c r="AP7" s="186"/>
      <c r="AQ7" s="186"/>
      <c r="AR7" s="187"/>
      <c r="AS7" s="184" t="s">
        <v>205</v>
      </c>
    </row>
    <row r="8" spans="1:46" x14ac:dyDescent="0.25">
      <c r="A8" s="173">
        <v>2017</v>
      </c>
      <c r="B8" s="180" t="s">
        <v>171</v>
      </c>
      <c r="C8" s="173">
        <v>9</v>
      </c>
      <c r="D8" s="154">
        <v>7.5</v>
      </c>
      <c r="E8" s="178">
        <v>11</v>
      </c>
      <c r="F8" s="154" t="s">
        <v>299</v>
      </c>
      <c r="G8" s="178"/>
      <c r="H8" s="165">
        <f>'2017- Mal &amp; Corsica '!C17*1.6</f>
        <v>885</v>
      </c>
      <c r="I8" s="155">
        <f>'2017- Mal &amp; Corsica '!D17</f>
        <v>15728</v>
      </c>
      <c r="J8" s="277">
        <f t="shared" si="3"/>
        <v>17.771751412429378</v>
      </c>
      <c r="K8" s="161">
        <f>'2017- Mal &amp; Corsica '!E17</f>
        <v>2.213888888888889</v>
      </c>
      <c r="L8" s="161">
        <f>'2017- Mal &amp; Corsica '!F17</f>
        <v>1.6736111111111109</v>
      </c>
      <c r="M8" s="165">
        <f t="shared" si="4"/>
        <v>118</v>
      </c>
      <c r="N8" s="155">
        <f t="shared" si="5"/>
        <v>2097.0666666666666</v>
      </c>
      <c r="O8" s="282">
        <f>M8/5.32</f>
        <v>22.180451127819548</v>
      </c>
      <c r="P8" s="337">
        <f t="shared" si="6"/>
        <v>0.94077676290966072</v>
      </c>
      <c r="Q8" s="342">
        <f t="shared" si="0"/>
        <v>0.29518518518518522</v>
      </c>
      <c r="R8" s="343">
        <f t="shared" si="1"/>
        <v>0.22314814814814812</v>
      </c>
      <c r="S8" s="199">
        <f t="shared" si="7"/>
        <v>7.2037037037037094E-2</v>
      </c>
      <c r="T8" s="330">
        <v>1</v>
      </c>
      <c r="U8" s="185">
        <v>1</v>
      </c>
      <c r="V8" s="185">
        <v>1</v>
      </c>
      <c r="W8" s="185">
        <v>1</v>
      </c>
      <c r="X8" s="185">
        <v>1</v>
      </c>
      <c r="Y8" s="188">
        <v>1</v>
      </c>
      <c r="Z8" s="189">
        <v>1</v>
      </c>
      <c r="AA8" s="186"/>
      <c r="AB8" s="186"/>
      <c r="AC8" s="188">
        <v>1</v>
      </c>
      <c r="AD8" s="189">
        <v>1</v>
      </c>
      <c r="AE8" s="186"/>
      <c r="AF8" s="185">
        <v>1</v>
      </c>
      <c r="AG8" s="189">
        <v>1</v>
      </c>
      <c r="AH8" s="186"/>
      <c r="AI8" s="186"/>
      <c r="AJ8" s="186"/>
      <c r="AK8" s="186"/>
      <c r="AL8" s="186"/>
      <c r="AM8" s="189">
        <v>1</v>
      </c>
      <c r="AN8" s="189">
        <v>1</v>
      </c>
      <c r="AO8" s="186"/>
      <c r="AP8" s="186"/>
      <c r="AQ8" s="186"/>
      <c r="AR8" s="187"/>
      <c r="AS8" s="157" t="s">
        <v>140</v>
      </c>
      <c r="AT8" s="156" t="s">
        <v>134</v>
      </c>
    </row>
    <row r="9" spans="1:46" x14ac:dyDescent="0.25">
      <c r="A9" s="173">
        <v>2019</v>
      </c>
      <c r="B9" s="180" t="s">
        <v>172</v>
      </c>
      <c r="C9" s="173">
        <v>6</v>
      </c>
      <c r="D9" s="154">
        <v>5.25</v>
      </c>
      <c r="E9" s="178">
        <v>12</v>
      </c>
      <c r="F9" s="154">
        <v>1</v>
      </c>
      <c r="G9" s="178">
        <f t="shared" si="2"/>
        <v>12</v>
      </c>
      <c r="H9" s="165">
        <f>'2019- ToC'!C9*1.6</f>
        <v>713.6</v>
      </c>
      <c r="I9" s="155">
        <f>'2019- ToC'!D9</f>
        <v>10471</v>
      </c>
      <c r="J9" s="277">
        <f t="shared" si="3"/>
        <v>14.673486547085201</v>
      </c>
      <c r="K9" s="161">
        <f>'2019- ToC'!E9</f>
        <v>1.6687499999999997</v>
      </c>
      <c r="L9" s="161">
        <f>'2019- ToC'!F9</f>
        <v>1.1597222222222221</v>
      </c>
      <c r="M9" s="165">
        <f t="shared" si="4"/>
        <v>135.92380952380952</v>
      </c>
      <c r="N9" s="155">
        <f t="shared" si="5"/>
        <v>1994.4761904761904</v>
      </c>
      <c r="O9" s="282">
        <f>M9/5.3</f>
        <v>25.646001796945193</v>
      </c>
      <c r="P9" s="337">
        <f t="shared" si="6"/>
        <v>0.89812950442481665</v>
      </c>
      <c r="Q9" s="342">
        <f t="shared" si="0"/>
        <v>0.31785714285714278</v>
      </c>
      <c r="R9" s="343">
        <f>L9/D9</f>
        <v>0.22089947089947087</v>
      </c>
      <c r="S9" s="199">
        <f t="shared" si="7"/>
        <v>9.6957671957671909E-2</v>
      </c>
      <c r="T9" s="330">
        <v>1</v>
      </c>
      <c r="U9" s="185">
        <v>1</v>
      </c>
      <c r="V9" s="185">
        <v>1</v>
      </c>
      <c r="W9" s="185">
        <v>1</v>
      </c>
      <c r="X9" s="185">
        <v>1</v>
      </c>
      <c r="Y9" s="185">
        <v>1</v>
      </c>
      <c r="Z9" s="185">
        <v>1</v>
      </c>
      <c r="AA9" s="186"/>
      <c r="AB9" s="186"/>
      <c r="AC9" s="186"/>
      <c r="AD9" s="204">
        <v>1</v>
      </c>
      <c r="AE9" s="186"/>
      <c r="AF9" s="185">
        <v>1</v>
      </c>
      <c r="AG9" s="185">
        <v>1</v>
      </c>
      <c r="AH9" s="186"/>
      <c r="AI9" s="186"/>
      <c r="AJ9" s="186"/>
      <c r="AK9" s="186"/>
      <c r="AL9" s="186"/>
      <c r="AM9" s="186"/>
      <c r="AN9" s="186"/>
      <c r="AO9" s="185">
        <v>1</v>
      </c>
      <c r="AP9" s="185">
        <v>1</v>
      </c>
      <c r="AQ9" s="185">
        <v>1</v>
      </c>
      <c r="AR9" s="279">
        <v>1</v>
      </c>
      <c r="AS9" s="184" t="s">
        <v>205</v>
      </c>
    </row>
    <row r="10" spans="1:46" x14ac:dyDescent="0.25">
      <c r="A10" s="173">
        <v>2021</v>
      </c>
      <c r="B10" s="180" t="s">
        <v>208</v>
      </c>
      <c r="C10" s="173">
        <v>7</v>
      </c>
      <c r="D10" s="154">
        <v>4.75</v>
      </c>
      <c r="E10" s="178">
        <v>6</v>
      </c>
      <c r="F10" s="154">
        <v>1</v>
      </c>
      <c r="G10" s="178">
        <f t="shared" si="2"/>
        <v>6</v>
      </c>
      <c r="H10" s="165">
        <f>'2021'!M13</f>
        <v>556</v>
      </c>
      <c r="I10" s="155">
        <f>'2021'!N13</f>
        <v>12177</v>
      </c>
      <c r="J10" s="277">
        <f t="shared" si="3"/>
        <v>21.901079136690647</v>
      </c>
      <c r="K10" s="161">
        <v>1.471527777777778</v>
      </c>
      <c r="L10" s="161">
        <v>1.0576388888888888</v>
      </c>
      <c r="M10" s="165">
        <f>H10/D10</f>
        <v>117.05263157894737</v>
      </c>
      <c r="N10" s="155">
        <f>I10/D10</f>
        <v>2563.5789473684213</v>
      </c>
      <c r="O10" s="282">
        <f>M10/5.33</f>
        <v>21.961094104868174</v>
      </c>
      <c r="P10" s="337">
        <f t="shared" si="6"/>
        <v>1.1479037229571083</v>
      </c>
      <c r="Q10" s="342">
        <f t="shared" si="0"/>
        <v>0.30979532163742696</v>
      </c>
      <c r="R10" s="343">
        <f t="shared" si="1"/>
        <v>0.22266081871345028</v>
      </c>
      <c r="S10" s="199">
        <f>Q10-R10</f>
        <v>8.7134502923976676E-2</v>
      </c>
      <c r="T10" s="330">
        <v>1</v>
      </c>
      <c r="U10" s="185">
        <v>1</v>
      </c>
      <c r="V10" s="185">
        <v>1</v>
      </c>
      <c r="W10" s="185">
        <v>1</v>
      </c>
      <c r="X10" s="185">
        <v>1</v>
      </c>
      <c r="Y10" s="294"/>
      <c r="Z10" s="186"/>
      <c r="AA10" s="294"/>
      <c r="AB10" s="294"/>
      <c r="AC10" s="186"/>
      <c r="AD10" s="184">
        <v>1</v>
      </c>
      <c r="AE10" s="185">
        <v>1</v>
      </c>
      <c r="AF10" s="186"/>
      <c r="AG10" s="186"/>
      <c r="AH10" s="294"/>
      <c r="AI10" s="294"/>
      <c r="AJ10" s="186"/>
      <c r="AK10" s="186"/>
      <c r="AL10" s="186"/>
      <c r="AM10" s="186"/>
      <c r="AN10" s="186"/>
      <c r="AO10" s="186"/>
      <c r="AP10" s="186"/>
      <c r="AQ10" s="186"/>
      <c r="AR10" s="187"/>
      <c r="AS10" s="184" t="s">
        <v>205</v>
      </c>
    </row>
    <row r="11" spans="1:46" ht="15.75" thickBot="1" x14ac:dyDescent="0.3">
      <c r="A11" s="174">
        <v>2022</v>
      </c>
      <c r="B11" s="181" t="s">
        <v>320</v>
      </c>
      <c r="C11" s="174">
        <v>7</v>
      </c>
      <c r="D11" s="175">
        <v>5.5</v>
      </c>
      <c r="E11" s="179">
        <v>10</v>
      </c>
      <c r="F11" s="175">
        <v>2</v>
      </c>
      <c r="G11" s="179">
        <f t="shared" si="2"/>
        <v>5</v>
      </c>
      <c r="H11" s="166">
        <f>'2022'!F13</f>
        <v>841</v>
      </c>
      <c r="I11" s="167">
        <f>'2022'!G13</f>
        <v>10111</v>
      </c>
      <c r="J11" s="278">
        <f>I11/H11</f>
        <v>12.022592152199762</v>
      </c>
      <c r="K11" s="168">
        <f>'2022'!I13</f>
        <v>1.8611111111111109</v>
      </c>
      <c r="L11" s="168">
        <f>'2022'!H13</f>
        <v>1.3409722222222225</v>
      </c>
      <c r="M11" s="166">
        <f>H11/D11</f>
        <v>152.90909090909091</v>
      </c>
      <c r="N11" s="167">
        <f>I11/D11</f>
        <v>1838.3636363636363</v>
      </c>
      <c r="O11" s="284">
        <f>M11/5.33</f>
        <v>28.688384785945761</v>
      </c>
      <c r="P11" s="337">
        <f>(J11*O11)/419</f>
        <v>0.82317124054128521</v>
      </c>
      <c r="Q11" s="344">
        <f t="shared" ref="Q11" si="8">K11/D11</f>
        <v>0.33838383838383834</v>
      </c>
      <c r="R11" s="169">
        <f t="shared" ref="R11" si="9">L11/D11</f>
        <v>0.24381313131313134</v>
      </c>
      <c r="S11" s="199">
        <f>Q11-R11</f>
        <v>9.4570707070707E-2</v>
      </c>
      <c r="T11" s="334">
        <v>1</v>
      </c>
      <c r="U11" s="191">
        <v>1</v>
      </c>
      <c r="V11" s="191">
        <v>1</v>
      </c>
      <c r="W11" s="191">
        <v>1</v>
      </c>
      <c r="X11" s="191">
        <v>1</v>
      </c>
      <c r="Y11" s="191">
        <v>1</v>
      </c>
      <c r="Z11" s="191">
        <v>1</v>
      </c>
      <c r="AA11" s="280"/>
      <c r="AB11" s="280"/>
      <c r="AC11" s="281">
        <v>1</v>
      </c>
      <c r="AD11" s="281">
        <v>1</v>
      </c>
      <c r="AE11" s="190"/>
      <c r="AF11" s="191">
        <v>1</v>
      </c>
      <c r="AG11" s="191">
        <v>1</v>
      </c>
      <c r="AH11" s="280"/>
      <c r="AI11" s="280"/>
      <c r="AJ11" s="190"/>
      <c r="AK11" s="190"/>
      <c r="AL11" s="190"/>
      <c r="AM11" s="190"/>
      <c r="AN11" s="190"/>
      <c r="AO11" s="190"/>
      <c r="AP11" s="190"/>
      <c r="AQ11" s="191">
        <v>1</v>
      </c>
      <c r="AR11" s="422">
        <v>1</v>
      </c>
      <c r="AS11" s="184" t="s">
        <v>205</v>
      </c>
    </row>
    <row r="12" spans="1:46" ht="15.75" thickBot="1" x14ac:dyDescent="0.3">
      <c r="G12" s="293">
        <f>AVERAGE(G3:G11)</f>
        <v>6.25</v>
      </c>
      <c r="H12" s="197"/>
      <c r="I12" s="155"/>
      <c r="J12" s="155"/>
      <c r="K12" s="155"/>
      <c r="L12" s="155" t="s">
        <v>15</v>
      </c>
      <c r="M12" s="288">
        <f>SUM(M3:M10)/8</f>
        <v>134.1344453254348</v>
      </c>
      <c r="N12" s="167">
        <f>SUM(N3:N10)/8</f>
        <v>2466.7642154628998</v>
      </c>
      <c r="O12" s="284">
        <f>AVERAGE(O3:O10)</f>
        <v>23.549010925635297</v>
      </c>
      <c r="P12" s="335">
        <f>AVERAGE(P3:P10)</f>
        <v>1.0300153049796863</v>
      </c>
      <c r="Q12" s="168">
        <f>AVERAGE(Q3:Q11)</f>
        <v>0.32038112021542819</v>
      </c>
      <c r="R12" s="169">
        <f>AVERAGE(R3:R11)</f>
        <v>0.23893991549205973</v>
      </c>
      <c r="S12" s="329">
        <f>AVERAGE(S3:S11)</f>
        <v>8.1441204723368466E-2</v>
      </c>
      <c r="T12" s="155"/>
      <c r="U12" s="155"/>
      <c r="V12" s="155"/>
      <c r="W12" s="155"/>
      <c r="Y12" s="155"/>
      <c r="AA12" s="155"/>
      <c r="AB12" s="155"/>
      <c r="AC12" s="155"/>
      <c r="AH12" s="155"/>
      <c r="AI12" s="155"/>
      <c r="AJ12" s="155"/>
    </row>
    <row r="13" spans="1:46" x14ac:dyDescent="0.25">
      <c r="R13" s="200"/>
    </row>
    <row r="14" spans="1:46" x14ac:dyDescent="0.25">
      <c r="B14" s="182" t="s">
        <v>198</v>
      </c>
      <c r="C14" s="97" t="s">
        <v>199</v>
      </c>
      <c r="R14" s="200"/>
    </row>
    <row r="15" spans="1:46" x14ac:dyDescent="0.25">
      <c r="R15" s="200"/>
    </row>
    <row r="16" spans="1:46" x14ac:dyDescent="0.25">
      <c r="R16" s="200"/>
    </row>
    <row r="17" spans="12:18" x14ac:dyDescent="0.25">
      <c r="R17" s="200"/>
    </row>
    <row r="18" spans="12:18" x14ac:dyDescent="0.25">
      <c r="L18" s="197">
        <f t="shared" ref="L18:L24" si="10">J3*O3</f>
        <v>478.11188811188811</v>
      </c>
      <c r="R18" s="200"/>
    </row>
    <row r="19" spans="12:18" x14ac:dyDescent="0.25">
      <c r="L19" s="197">
        <f t="shared" si="10"/>
        <v>441.59259259259261</v>
      </c>
      <c r="R19" s="200"/>
    </row>
    <row r="20" spans="12:18" x14ac:dyDescent="0.25">
      <c r="L20" s="197">
        <f t="shared" si="10"/>
        <v>402.21369539551358</v>
      </c>
      <c r="R20" s="200"/>
    </row>
    <row r="21" spans="12:18" x14ac:dyDescent="0.25">
      <c r="L21" s="197">
        <f t="shared" si="10"/>
        <v>508.38857142857142</v>
      </c>
      <c r="R21" s="200"/>
    </row>
    <row r="22" spans="12:18" x14ac:dyDescent="0.25">
      <c r="L22" s="197">
        <f t="shared" si="10"/>
        <v>370.83116883116884</v>
      </c>
      <c r="R22" s="200"/>
    </row>
    <row r="23" spans="12:18" x14ac:dyDescent="0.25">
      <c r="L23" s="197">
        <f t="shared" si="10"/>
        <v>394.18546365914784</v>
      </c>
      <c r="R23" s="200"/>
    </row>
    <row r="24" spans="12:18" x14ac:dyDescent="0.25">
      <c r="L24" s="197">
        <f t="shared" si="10"/>
        <v>376.31626235399818</v>
      </c>
    </row>
    <row r="25" spans="12:18" x14ac:dyDescent="0.25">
      <c r="L25" s="197">
        <f t="shared" ref="L25:L26" si="11">J10*O10</f>
        <v>480.97165991902835</v>
      </c>
    </row>
    <row r="26" spans="12:18" x14ac:dyDescent="0.25">
      <c r="L26" s="197">
        <f t="shared" si="11"/>
        <v>344.90874978679852</v>
      </c>
    </row>
    <row r="27" spans="12:18" x14ac:dyDescent="0.25">
      <c r="L27" s="285">
        <f>AVERAGE(L18:L26)</f>
        <v>421.94667245318971</v>
      </c>
    </row>
    <row r="28" spans="12:18" x14ac:dyDescent="0.25">
      <c r="L28" s="197"/>
    </row>
  </sheetData>
  <conditionalFormatting sqref="J3:J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6033-1DFF-499B-9B1E-3126E4FE9C56}">
  <sheetPr>
    <pageSetUpPr fitToPage="1"/>
  </sheetPr>
  <dimension ref="A1:O24"/>
  <sheetViews>
    <sheetView zoomScaleNormal="100" workbookViewId="0">
      <selection activeCell="K36" sqref="K36"/>
    </sheetView>
  </sheetViews>
  <sheetFormatPr defaultColWidth="12.5703125" defaultRowHeight="15.75" x14ac:dyDescent="0.25"/>
  <cols>
    <col min="1" max="1" width="16.85546875" style="217" customWidth="1"/>
    <col min="2" max="2" width="14.28515625" style="217" customWidth="1"/>
    <col min="3" max="3" width="12.5703125" style="214"/>
    <col min="4" max="4" width="12.5703125" style="217"/>
    <col min="5" max="5" width="16.28515625" style="217" customWidth="1"/>
    <col min="6" max="6" width="16.7109375" style="217" customWidth="1"/>
    <col min="7" max="7" width="14.28515625" style="217" bestFit="1" customWidth="1"/>
    <col min="8" max="8" width="17.42578125" style="217" customWidth="1"/>
    <col min="9" max="9" width="14" style="217" bestFit="1" customWidth="1"/>
    <col min="10" max="10" width="21.28515625" style="217" bestFit="1" customWidth="1"/>
    <col min="11" max="11" width="24" style="217" customWidth="1"/>
    <col min="12" max="17" width="12.5703125" style="217"/>
    <col min="18" max="18" width="15.140625" style="217" customWidth="1"/>
    <col min="19" max="16384" width="12.5703125" style="217"/>
  </cols>
  <sheetData>
    <row r="1" spans="1:15" x14ac:dyDescent="0.25">
      <c r="A1" s="295"/>
      <c r="B1" s="295"/>
      <c r="C1" s="209"/>
      <c r="D1" s="209"/>
      <c r="E1" s="295"/>
      <c r="F1" s="419" t="s">
        <v>301</v>
      </c>
      <c r="G1" s="419"/>
      <c r="H1" s="419"/>
      <c r="I1" s="209"/>
    </row>
    <row r="2" spans="1:15" ht="16.5" thickBot="1" x14ac:dyDescent="0.3">
      <c r="A2" s="295" t="s">
        <v>209</v>
      </c>
      <c r="B2" s="295" t="s">
        <v>210</v>
      </c>
      <c r="C2" s="209" t="s">
        <v>2</v>
      </c>
      <c r="D2" s="209"/>
      <c r="E2" s="295"/>
      <c r="F2" s="295" t="s">
        <v>227</v>
      </c>
      <c r="G2" s="295" t="s">
        <v>228</v>
      </c>
      <c r="H2" s="295" t="s">
        <v>33</v>
      </c>
      <c r="I2" s="295" t="s">
        <v>5</v>
      </c>
    </row>
    <row r="3" spans="1:15" ht="16.5" thickBot="1" x14ac:dyDescent="0.3">
      <c r="A3" s="296" t="s">
        <v>302</v>
      </c>
      <c r="B3" s="297" t="s">
        <v>55</v>
      </c>
      <c r="C3" s="298">
        <v>0</v>
      </c>
      <c r="D3" s="298" t="s">
        <v>303</v>
      </c>
      <c r="E3" s="299">
        <v>44800</v>
      </c>
      <c r="F3" s="297"/>
      <c r="G3" s="297"/>
      <c r="H3" s="300"/>
      <c r="I3" s="300"/>
    </row>
    <row r="4" spans="1:15" x14ac:dyDescent="0.25">
      <c r="A4" s="301" t="s">
        <v>55</v>
      </c>
      <c r="B4" s="302" t="s">
        <v>304</v>
      </c>
      <c r="C4" s="303">
        <v>1</v>
      </c>
      <c r="D4" s="303" t="s">
        <v>6</v>
      </c>
      <c r="E4" s="304">
        <v>44801</v>
      </c>
      <c r="F4" s="305">
        <v>103</v>
      </c>
      <c r="G4" s="297">
        <v>1773</v>
      </c>
      <c r="H4" s="306">
        <v>0.18402777777777779</v>
      </c>
      <c r="I4" s="306">
        <v>0.29444444444444445</v>
      </c>
      <c r="J4" s="345" t="s">
        <v>321</v>
      </c>
    </row>
    <row r="5" spans="1:15" x14ac:dyDescent="0.25">
      <c r="A5" s="234" t="s">
        <v>304</v>
      </c>
      <c r="B5" s="217" t="s">
        <v>305</v>
      </c>
      <c r="C5" s="214">
        <v>2</v>
      </c>
      <c r="D5" s="214" t="s">
        <v>7</v>
      </c>
      <c r="E5" s="215">
        <v>44802</v>
      </c>
      <c r="F5" s="307">
        <v>153</v>
      </c>
      <c r="G5" s="308">
        <v>2987</v>
      </c>
      <c r="H5" s="309">
        <v>0.28472222222222221</v>
      </c>
      <c r="I5" s="309">
        <v>0.36736111111111108</v>
      </c>
    </row>
    <row r="6" spans="1:15" x14ac:dyDescent="0.25">
      <c r="A6" s="234" t="s">
        <v>306</v>
      </c>
      <c r="B6" s="217" t="s">
        <v>307</v>
      </c>
      <c r="C6" s="214">
        <v>3</v>
      </c>
      <c r="D6" s="214" t="s">
        <v>8</v>
      </c>
      <c r="E6" s="215">
        <v>44803</v>
      </c>
      <c r="F6" s="307">
        <v>169</v>
      </c>
      <c r="G6" s="308">
        <v>1740</v>
      </c>
      <c r="H6" s="309">
        <v>0.26319444444444445</v>
      </c>
      <c r="I6" s="309">
        <v>0.34236111111111112</v>
      </c>
    </row>
    <row r="7" spans="1:15" x14ac:dyDescent="0.25">
      <c r="A7" s="234" t="s">
        <v>308</v>
      </c>
      <c r="B7" s="217" t="s">
        <v>309</v>
      </c>
      <c r="C7" s="214">
        <v>4</v>
      </c>
      <c r="D7" s="214" t="s">
        <v>9</v>
      </c>
      <c r="E7" s="215">
        <v>44804</v>
      </c>
      <c r="F7" s="310">
        <v>51</v>
      </c>
      <c r="G7" s="311">
        <v>556</v>
      </c>
      <c r="H7" s="312">
        <v>8.1250000000000003E-2</v>
      </c>
      <c r="I7" s="312">
        <v>8.6111111111111124E-2</v>
      </c>
      <c r="J7" s="311" t="s">
        <v>310</v>
      </c>
    </row>
    <row r="8" spans="1:15" x14ac:dyDescent="0.25">
      <c r="A8" s="234" t="s">
        <v>309</v>
      </c>
      <c r="B8" s="217" t="s">
        <v>311</v>
      </c>
      <c r="C8" s="214">
        <v>5</v>
      </c>
      <c r="D8" s="214" t="s">
        <v>10</v>
      </c>
      <c r="E8" s="215">
        <v>44805</v>
      </c>
      <c r="F8" s="307">
        <v>121</v>
      </c>
      <c r="G8" s="308">
        <v>1297</v>
      </c>
      <c r="H8" s="309">
        <v>0.18402777777777779</v>
      </c>
      <c r="I8" s="309">
        <v>0.29722222222222222</v>
      </c>
    </row>
    <row r="9" spans="1:15" x14ac:dyDescent="0.25">
      <c r="A9" s="234" t="s">
        <v>311</v>
      </c>
      <c r="B9" s="217" t="s">
        <v>312</v>
      </c>
      <c r="C9" s="214">
        <v>6</v>
      </c>
      <c r="D9" s="214" t="s">
        <v>11</v>
      </c>
      <c r="E9" s="215">
        <v>44806</v>
      </c>
      <c r="F9" s="307">
        <f>48+79</f>
        <v>127</v>
      </c>
      <c r="G9" s="308">
        <f>598+953</f>
        <v>1551</v>
      </c>
      <c r="H9" s="309">
        <v>0.19444444444444445</v>
      </c>
      <c r="I9" s="309">
        <v>0.24791666666666667</v>
      </c>
    </row>
    <row r="10" spans="1:15" ht="16.5" thickBot="1" x14ac:dyDescent="0.3">
      <c r="A10" s="256" t="s">
        <v>312</v>
      </c>
      <c r="B10" s="257" t="s">
        <v>55</v>
      </c>
      <c r="C10" s="313">
        <v>7</v>
      </c>
      <c r="D10" s="313" t="s">
        <v>303</v>
      </c>
      <c r="E10" s="314">
        <v>44807</v>
      </c>
      <c r="F10" s="315">
        <v>117</v>
      </c>
      <c r="G10" s="316">
        <v>207</v>
      </c>
      <c r="H10" s="317">
        <v>0.14930555555555555</v>
      </c>
      <c r="I10" s="317">
        <v>0.22569444444444445</v>
      </c>
    </row>
    <row r="11" spans="1:15" ht="16.5" thickBot="1" x14ac:dyDescent="0.3">
      <c r="A11" s="318" t="s">
        <v>55</v>
      </c>
      <c r="B11" s="316" t="s">
        <v>302</v>
      </c>
      <c r="C11" s="319" t="s">
        <v>313</v>
      </c>
      <c r="D11" s="319" t="s">
        <v>6</v>
      </c>
      <c r="E11" s="320">
        <v>44808</v>
      </c>
      <c r="F11" s="316"/>
      <c r="G11" s="316"/>
      <c r="H11" s="317"/>
      <c r="I11" s="317"/>
    </row>
    <row r="12" spans="1:15" x14ac:dyDescent="0.25">
      <c r="D12" s="214"/>
      <c r="E12" s="215"/>
      <c r="F12" s="308"/>
      <c r="G12" s="308"/>
      <c r="H12" s="308"/>
      <c r="I12" s="321"/>
    </row>
    <row r="13" spans="1:15" x14ac:dyDescent="0.25">
      <c r="D13" s="214"/>
      <c r="E13" s="322" t="s">
        <v>163</v>
      </c>
      <c r="F13" s="323">
        <f>SUM(F4:F10)</f>
        <v>841</v>
      </c>
      <c r="G13" s="323">
        <f t="shared" ref="G13" si="0">SUM(G4:G10)</f>
        <v>10111</v>
      </c>
      <c r="H13" s="338">
        <f>SUM(H4:H10)</f>
        <v>1.3409722222222225</v>
      </c>
      <c r="I13" s="338">
        <f>SUM(I4:I10)</f>
        <v>1.8611111111111109</v>
      </c>
    </row>
    <row r="14" spans="1:15" x14ac:dyDescent="0.25">
      <c r="D14" s="214"/>
      <c r="E14" s="324" t="s">
        <v>314</v>
      </c>
      <c r="F14" s="325">
        <f>F13/C10</f>
        <v>120.14285714285714</v>
      </c>
      <c r="G14" s="325">
        <f>G13/C10</f>
        <v>1444.4285714285713</v>
      </c>
      <c r="H14" s="339">
        <f>H13/7</f>
        <v>0.19156746031746036</v>
      </c>
      <c r="I14" s="339">
        <f>I13/7</f>
        <v>0.26587301587301587</v>
      </c>
    </row>
    <row r="15" spans="1:15" x14ac:dyDescent="0.25">
      <c r="D15" s="214"/>
      <c r="F15" s="325"/>
      <c r="G15" s="325"/>
      <c r="H15" s="325"/>
      <c r="I15" s="325"/>
      <c r="J15" s="272"/>
      <c r="K15" s="272"/>
      <c r="L15" s="272"/>
      <c r="M15" s="272"/>
      <c r="N15" s="272"/>
      <c r="O15" s="272"/>
    </row>
    <row r="16" spans="1:15" ht="16.5" thickBot="1" x14ac:dyDescent="0.3">
      <c r="D16" s="214"/>
      <c r="F16" s="325" t="s">
        <v>315</v>
      </c>
      <c r="G16" s="325" t="s">
        <v>316</v>
      </c>
      <c r="H16" s="325"/>
      <c r="I16" s="325"/>
      <c r="J16" s="272"/>
      <c r="K16" s="272"/>
      <c r="L16" s="272"/>
      <c r="M16" s="272"/>
      <c r="N16" s="272"/>
      <c r="O16" s="272"/>
    </row>
    <row r="17" spans="1:10" x14ac:dyDescent="0.25">
      <c r="D17" s="214"/>
      <c r="F17" s="301" t="s">
        <v>317</v>
      </c>
      <c r="G17" s="302"/>
      <c r="H17" s="302"/>
      <c r="I17" s="326">
        <f>I13-H13</f>
        <v>0.52013888888888848</v>
      </c>
      <c r="J17" s="327"/>
    </row>
    <row r="18" spans="1:10" ht="16.5" thickBot="1" x14ac:dyDescent="0.3">
      <c r="F18" s="256"/>
      <c r="G18" s="257"/>
      <c r="H18" s="257"/>
      <c r="I18" s="328">
        <f>I17/7</f>
        <v>7.43055555555555E-2</v>
      </c>
      <c r="J18" s="258" t="s">
        <v>318</v>
      </c>
    </row>
    <row r="20" spans="1:10" ht="16.5" thickBot="1" x14ac:dyDescent="0.3">
      <c r="A20" s="217" t="s">
        <v>319</v>
      </c>
    </row>
    <row r="21" spans="1:10" ht="16.5" thickBot="1" x14ac:dyDescent="0.3">
      <c r="A21" s="420" t="s">
        <v>220</v>
      </c>
      <c r="B21" s="421"/>
      <c r="C21" s="420" t="s">
        <v>221</v>
      </c>
      <c r="D21" s="421"/>
      <c r="E21" s="420" t="s">
        <v>222</v>
      </c>
      <c r="F21" s="421"/>
      <c r="G21" s="420" t="s">
        <v>223</v>
      </c>
      <c r="H21" s="421"/>
    </row>
    <row r="22" spans="1:10" x14ac:dyDescent="0.25">
      <c r="A22" s="234">
        <v>7</v>
      </c>
      <c r="B22" s="241"/>
      <c r="C22" s="234">
        <v>6</v>
      </c>
      <c r="D22" s="241"/>
      <c r="E22" s="234">
        <v>7</v>
      </c>
      <c r="F22" s="241"/>
      <c r="G22" s="234">
        <v>5</v>
      </c>
      <c r="H22" s="241"/>
    </row>
    <row r="23" spans="1:10" x14ac:dyDescent="0.25">
      <c r="A23" s="270">
        <v>910</v>
      </c>
      <c r="B23" s="271">
        <v>22242</v>
      </c>
      <c r="C23" s="270">
        <v>845</v>
      </c>
      <c r="D23" s="271">
        <v>19274</v>
      </c>
      <c r="E23" s="270">
        <v>1001</v>
      </c>
      <c r="F23" s="271">
        <v>14277</v>
      </c>
      <c r="G23" s="270">
        <v>720</v>
      </c>
      <c r="H23" s="271">
        <v>11000</v>
      </c>
    </row>
    <row r="24" spans="1:10" ht="16.5" thickBot="1" x14ac:dyDescent="0.3">
      <c r="A24" s="274">
        <f>A23/A22</f>
        <v>130</v>
      </c>
      <c r="B24" s="275">
        <f>B23/A22</f>
        <v>3177.4285714285716</v>
      </c>
      <c r="C24" s="274">
        <f>C23/C22</f>
        <v>140.83333333333334</v>
      </c>
      <c r="D24" s="275">
        <f>D23/C22</f>
        <v>3212.3333333333335</v>
      </c>
      <c r="E24" s="274">
        <f>E23/E22</f>
        <v>143</v>
      </c>
      <c r="F24" s="275">
        <f>F23/E22</f>
        <v>2039.5714285714287</v>
      </c>
      <c r="G24" s="256">
        <f>G23/G22</f>
        <v>144</v>
      </c>
      <c r="H24" s="258">
        <f>H23/G22</f>
        <v>2200</v>
      </c>
      <c r="J24" s="262"/>
    </row>
  </sheetData>
  <mergeCells count="5">
    <mergeCell ref="F1:H1"/>
    <mergeCell ref="A21:B21"/>
    <mergeCell ref="C21:D21"/>
    <mergeCell ref="E21:F21"/>
    <mergeCell ref="G21:H21"/>
  </mergeCells>
  <pageMargins left="0.25" right="0.25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"/>
  <sheetViews>
    <sheetView workbookViewId="0">
      <selection activeCell="I11" sqref="I11"/>
    </sheetView>
  </sheetViews>
  <sheetFormatPr defaultColWidth="9.140625" defaultRowHeight="15" x14ac:dyDescent="0.25"/>
  <cols>
    <col min="1" max="1" width="13.140625" style="7" customWidth="1"/>
    <col min="2" max="2" width="12.7109375" style="7" customWidth="1"/>
    <col min="3" max="3" width="7.5703125" style="24" customWidth="1"/>
    <col min="4" max="4" width="12.7109375" style="24" customWidth="1"/>
    <col min="5" max="5" width="11.42578125" style="7" bestFit="1" customWidth="1"/>
    <col min="6" max="6" width="9.140625" style="24"/>
    <col min="7" max="7" width="8.7109375" style="24" customWidth="1"/>
    <col min="8" max="9" width="10.140625" style="24" bestFit="1" customWidth="1"/>
    <col min="10" max="10" width="33.140625" style="7" customWidth="1"/>
    <col min="11" max="16384" width="9.140625" style="7"/>
  </cols>
  <sheetData>
    <row r="1" spans="1:10" ht="30" x14ac:dyDescent="0.25">
      <c r="A1" s="1" t="s">
        <v>0</v>
      </c>
      <c r="B1" s="2" t="s">
        <v>1</v>
      </c>
      <c r="C1" s="3" t="s">
        <v>2</v>
      </c>
      <c r="D1" s="5" t="s">
        <v>3</v>
      </c>
      <c r="E1" s="4" t="s">
        <v>2</v>
      </c>
      <c r="F1" s="5" t="s">
        <v>4</v>
      </c>
      <c r="G1" s="6" t="s">
        <v>14</v>
      </c>
      <c r="H1" s="1" t="s">
        <v>5</v>
      </c>
      <c r="I1" s="5" t="s">
        <v>33</v>
      </c>
      <c r="J1" s="35" t="s">
        <v>24</v>
      </c>
    </row>
    <row r="2" spans="1:10" ht="15.75" thickBot="1" x14ac:dyDescent="0.3">
      <c r="A2" s="8"/>
      <c r="B2" s="9"/>
      <c r="C2" s="10"/>
      <c r="D2" s="12"/>
      <c r="E2" s="11"/>
      <c r="F2" s="12" t="s">
        <v>29</v>
      </c>
      <c r="G2" s="13"/>
      <c r="H2" s="12"/>
      <c r="I2" s="12"/>
      <c r="J2" s="36"/>
    </row>
    <row r="3" spans="1:10" ht="15.75" customHeight="1" thickBot="1" x14ac:dyDescent="0.3">
      <c r="A3" s="42" t="s">
        <v>16</v>
      </c>
      <c r="B3" s="43" t="s">
        <v>17</v>
      </c>
      <c r="C3" s="29">
        <v>1</v>
      </c>
      <c r="D3" s="30">
        <v>41168</v>
      </c>
      <c r="E3" s="31" t="s">
        <v>6</v>
      </c>
      <c r="F3" s="44">
        <v>76.510000000000005</v>
      </c>
      <c r="G3" s="45">
        <v>2511</v>
      </c>
      <c r="H3" s="158">
        <v>0.30486111111111108</v>
      </c>
      <c r="I3" s="158">
        <v>0.24236111111111111</v>
      </c>
      <c r="J3" s="37"/>
    </row>
    <row r="4" spans="1:10" ht="15.75" customHeight="1" thickBot="1" x14ac:dyDescent="0.3">
      <c r="A4" s="14" t="s">
        <v>17</v>
      </c>
      <c r="B4" s="15" t="s">
        <v>18</v>
      </c>
      <c r="C4" s="16">
        <v>2</v>
      </c>
      <c r="D4" s="27">
        <v>41169</v>
      </c>
      <c r="E4" s="18" t="s">
        <v>7</v>
      </c>
      <c r="F4" s="25">
        <v>86.23</v>
      </c>
      <c r="G4" s="17">
        <v>3408</v>
      </c>
      <c r="H4" s="158">
        <v>0.35416666666666669</v>
      </c>
      <c r="I4" s="158">
        <v>0.27916666666666667</v>
      </c>
      <c r="J4" s="38" t="s">
        <v>23</v>
      </c>
    </row>
    <row r="5" spans="1:10" ht="15.75" customHeight="1" thickBot="1" x14ac:dyDescent="0.3">
      <c r="A5" s="14" t="str">
        <f>B4</f>
        <v>Briancon</v>
      </c>
      <c r="B5" s="15" t="s">
        <v>19</v>
      </c>
      <c r="C5" s="16">
        <v>3</v>
      </c>
      <c r="D5" s="27">
        <v>41170</v>
      </c>
      <c r="E5" s="18" t="s">
        <v>8</v>
      </c>
      <c r="F5" s="25">
        <v>61.5</v>
      </c>
      <c r="G5" s="17">
        <v>1658</v>
      </c>
      <c r="H5" s="158">
        <v>0.25763888888888892</v>
      </c>
      <c r="I5" s="158">
        <v>0.17083333333333331</v>
      </c>
      <c r="J5" s="38" t="s">
        <v>25</v>
      </c>
    </row>
    <row r="6" spans="1:10" ht="15.75" customHeight="1" thickBot="1" x14ac:dyDescent="0.3">
      <c r="A6" s="14" t="str">
        <f>B5</f>
        <v>La Chambre</v>
      </c>
      <c r="B6" s="15" t="s">
        <v>20</v>
      </c>
      <c r="C6" s="16">
        <v>4</v>
      </c>
      <c r="D6" s="27">
        <v>41171</v>
      </c>
      <c r="E6" s="18" t="s">
        <v>9</v>
      </c>
      <c r="F6" s="25">
        <v>56.05</v>
      </c>
      <c r="G6" s="17">
        <v>2739</v>
      </c>
      <c r="H6" s="158">
        <v>0.28680555555555554</v>
      </c>
      <c r="I6" s="158">
        <v>0.20902777777777778</v>
      </c>
      <c r="J6" s="38" t="s">
        <v>26</v>
      </c>
    </row>
    <row r="7" spans="1:10" ht="15.75" customHeight="1" thickBot="1" x14ac:dyDescent="0.3">
      <c r="A7" s="14" t="str">
        <f>B6</f>
        <v>Praz sur Arly</v>
      </c>
      <c r="B7" s="15" t="s">
        <v>21</v>
      </c>
      <c r="C7" s="16">
        <v>5</v>
      </c>
      <c r="D7" s="27">
        <v>41172</v>
      </c>
      <c r="E7" s="18" t="s">
        <v>10</v>
      </c>
      <c r="F7" s="25">
        <v>49.06</v>
      </c>
      <c r="G7" s="17">
        <v>1678</v>
      </c>
      <c r="H7" s="158">
        <v>0.19999999999999998</v>
      </c>
      <c r="I7" s="158">
        <v>0.15</v>
      </c>
      <c r="J7" s="38" t="s">
        <v>27</v>
      </c>
    </row>
    <row r="8" spans="1:10" ht="15.75" customHeight="1" thickBot="1" x14ac:dyDescent="0.3">
      <c r="A8" s="19" t="str">
        <f>B7</f>
        <v>Samoens</v>
      </c>
      <c r="B8" s="20" t="s">
        <v>22</v>
      </c>
      <c r="C8" s="21">
        <v>6</v>
      </c>
      <c r="D8" s="28">
        <v>41173</v>
      </c>
      <c r="E8" s="22" t="s">
        <v>11</v>
      </c>
      <c r="F8" s="26">
        <v>37.520000000000003</v>
      </c>
      <c r="G8" s="23">
        <v>1680</v>
      </c>
      <c r="H8" s="158">
        <v>0.18958333333333333</v>
      </c>
      <c r="I8" s="158">
        <v>0.13680555555555554</v>
      </c>
      <c r="J8" s="22" t="s">
        <v>28</v>
      </c>
    </row>
    <row r="9" spans="1:10" ht="17.25" thickBot="1" x14ac:dyDescent="0.3">
      <c r="E9" s="39" t="s">
        <v>13</v>
      </c>
      <c r="F9" s="40">
        <f>SUM(F3:F8)</f>
        <v>366.87</v>
      </c>
      <c r="G9" s="41">
        <f>SUM(G3:G8)</f>
        <v>13674</v>
      </c>
      <c r="H9" s="159">
        <f>SUM(H3:H8)</f>
        <v>1.5930555555555554</v>
      </c>
      <c r="I9" s="160">
        <f t="shared" ref="I9" si="0">SUM(I3:I8)</f>
        <v>1.1881944444444446</v>
      </c>
    </row>
    <row r="10" spans="1:10" ht="16.5" x14ac:dyDescent="0.25">
      <c r="B10" s="7" t="s">
        <v>147</v>
      </c>
      <c r="C10" s="24">
        <v>6</v>
      </c>
      <c r="E10" s="32" t="s">
        <v>15</v>
      </c>
      <c r="F10" s="33">
        <f>F9/C10</f>
        <v>61.145000000000003</v>
      </c>
      <c r="G10" s="34">
        <f>G9/C10</f>
        <v>2279</v>
      </c>
      <c r="H10" s="159">
        <f>H9/C10</f>
        <v>0.26550925925925922</v>
      </c>
      <c r="I10" s="159">
        <f>I9/C10</f>
        <v>0.19803240740740743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953B-25AA-4FEE-BA54-965DF9A5E167}">
  <dimension ref="A1:J10"/>
  <sheetViews>
    <sheetView workbookViewId="0">
      <selection activeCell="G8" sqref="G8"/>
    </sheetView>
  </sheetViews>
  <sheetFormatPr defaultRowHeight="51" customHeight="1" x14ac:dyDescent="0.25"/>
  <cols>
    <col min="1" max="3" width="22.5703125" customWidth="1"/>
    <col min="4" max="4" width="50" bestFit="1" customWidth="1"/>
    <col min="5" max="10" width="22.5703125" customWidth="1"/>
  </cols>
  <sheetData>
    <row r="1" spans="1:10" ht="51" customHeight="1" x14ac:dyDescent="0.25">
      <c r="A1" s="368" t="s">
        <v>2</v>
      </c>
      <c r="B1" s="364" t="s">
        <v>0</v>
      </c>
      <c r="C1" s="364" t="s">
        <v>1</v>
      </c>
      <c r="D1" s="364" t="s">
        <v>24</v>
      </c>
      <c r="E1" s="61" t="s">
        <v>4</v>
      </c>
      <c r="F1" s="61" t="s">
        <v>31</v>
      </c>
      <c r="G1" s="364" t="s">
        <v>5</v>
      </c>
      <c r="H1" s="364" t="s">
        <v>33</v>
      </c>
      <c r="I1" s="364" t="s">
        <v>34</v>
      </c>
      <c r="J1" s="366" t="s">
        <v>35</v>
      </c>
    </row>
    <row r="2" spans="1:10" ht="51" customHeight="1" thickBot="1" x14ac:dyDescent="0.3">
      <c r="A2" s="369"/>
      <c r="B2" s="365"/>
      <c r="C2" s="365"/>
      <c r="D2" s="365"/>
      <c r="E2" s="70" t="s">
        <v>30</v>
      </c>
      <c r="F2" s="70" t="s">
        <v>32</v>
      </c>
      <c r="G2" s="365"/>
      <c r="H2" s="365"/>
      <c r="I2" s="365"/>
      <c r="J2" s="367"/>
    </row>
    <row r="3" spans="1:10" ht="25.5" customHeight="1" thickBot="1" x14ac:dyDescent="0.3">
      <c r="A3" s="62" t="s">
        <v>7</v>
      </c>
      <c r="B3" s="49" t="s">
        <v>36</v>
      </c>
      <c r="C3" s="49" t="s">
        <v>37</v>
      </c>
      <c r="D3" s="49" t="s">
        <v>38</v>
      </c>
      <c r="E3" s="49">
        <v>124</v>
      </c>
      <c r="F3" s="49">
        <v>2690</v>
      </c>
      <c r="G3" s="50">
        <v>0.3840277777777778</v>
      </c>
      <c r="H3" s="50">
        <v>0.31388888888888888</v>
      </c>
      <c r="I3" s="49">
        <v>16.5</v>
      </c>
      <c r="J3" s="63" t="s">
        <v>39</v>
      </c>
    </row>
    <row r="4" spans="1:10" ht="25.5" customHeight="1" thickBot="1" x14ac:dyDescent="0.3">
      <c r="A4" s="62" t="s">
        <v>8</v>
      </c>
      <c r="B4" s="49" t="s">
        <v>37</v>
      </c>
      <c r="C4" s="49" t="s">
        <v>40</v>
      </c>
      <c r="D4" s="49" t="s">
        <v>41</v>
      </c>
      <c r="E4" s="49">
        <v>96</v>
      </c>
      <c r="F4" s="49">
        <v>4358</v>
      </c>
      <c r="G4" s="50">
        <v>0.3979166666666667</v>
      </c>
      <c r="H4" s="50">
        <v>0.33402777777777781</v>
      </c>
      <c r="I4" s="49">
        <v>11.9</v>
      </c>
      <c r="J4" s="63" t="s">
        <v>42</v>
      </c>
    </row>
    <row r="5" spans="1:10" ht="25.5" customHeight="1" thickBot="1" x14ac:dyDescent="0.3">
      <c r="A5" s="62" t="s">
        <v>9</v>
      </c>
      <c r="B5" s="49" t="s">
        <v>40</v>
      </c>
      <c r="C5" s="49" t="s">
        <v>43</v>
      </c>
      <c r="D5" s="49" t="s">
        <v>44</v>
      </c>
      <c r="E5" s="49">
        <v>104</v>
      </c>
      <c r="F5" s="49">
        <v>2429</v>
      </c>
      <c r="G5" s="50">
        <v>0.34236111111111112</v>
      </c>
      <c r="H5" s="50">
        <v>0.27291666666666664</v>
      </c>
      <c r="I5" s="49">
        <v>15.9</v>
      </c>
      <c r="J5" s="63" t="s">
        <v>45</v>
      </c>
    </row>
    <row r="6" spans="1:10" ht="25.5" customHeight="1" thickBot="1" x14ac:dyDescent="0.3">
      <c r="A6" s="62" t="s">
        <v>10</v>
      </c>
      <c r="B6" s="49" t="s">
        <v>43</v>
      </c>
      <c r="C6" s="49" t="s">
        <v>46</v>
      </c>
      <c r="D6" s="49" t="s">
        <v>47</v>
      </c>
      <c r="E6" s="49">
        <v>71</v>
      </c>
      <c r="F6" s="49">
        <v>1811</v>
      </c>
      <c r="G6" s="50">
        <v>0.27638888888888885</v>
      </c>
      <c r="H6" s="50">
        <v>0.20347222222222219</v>
      </c>
      <c r="I6" s="49">
        <v>14.5</v>
      </c>
      <c r="J6" s="63" t="s">
        <v>48</v>
      </c>
    </row>
    <row r="7" spans="1:10" ht="25.5" customHeight="1" thickBot="1" x14ac:dyDescent="0.3">
      <c r="A7" s="64" t="s">
        <v>11</v>
      </c>
      <c r="B7" s="65" t="s">
        <v>46</v>
      </c>
      <c r="C7" s="65" t="s">
        <v>49</v>
      </c>
      <c r="D7" s="65" t="s">
        <v>50</v>
      </c>
      <c r="E7" s="65">
        <v>57</v>
      </c>
      <c r="F7" s="65">
        <v>635</v>
      </c>
      <c r="G7" s="66">
        <v>0.1423611111111111</v>
      </c>
      <c r="H7" s="66">
        <v>0.12083333333333333</v>
      </c>
      <c r="I7" s="65">
        <v>19.600000000000001</v>
      </c>
      <c r="J7" s="67" t="s">
        <v>51</v>
      </c>
    </row>
    <row r="8" spans="1:10" ht="23.25" customHeight="1" thickBot="1" x14ac:dyDescent="0.3">
      <c r="D8" s="120" t="s">
        <v>52</v>
      </c>
      <c r="E8" s="121">
        <f>SUM(E3:E7)</f>
        <v>452</v>
      </c>
      <c r="F8" s="80">
        <f>SUM(F3:F7)</f>
        <v>11923</v>
      </c>
      <c r="G8" s="122">
        <f>SUM(G3:G7)</f>
        <v>1.5430555555555556</v>
      </c>
      <c r="H8" s="123">
        <f>H3+H4+H5+H6</f>
        <v>1.1243055555555557</v>
      </c>
    </row>
    <row r="9" spans="1:10" ht="23.25" customHeight="1" thickBot="1" x14ac:dyDescent="0.3">
      <c r="B9" t="s">
        <v>147</v>
      </c>
      <c r="C9" s="97">
        <v>5</v>
      </c>
      <c r="D9" s="68" t="s">
        <v>148</v>
      </c>
      <c r="E9" s="98">
        <f>E8/$C$9</f>
        <v>90.4</v>
      </c>
      <c r="F9" s="69">
        <f t="shared" ref="F9:H9" si="0">F8/$C$9</f>
        <v>2384.6</v>
      </c>
      <c r="G9" s="124">
        <f t="shared" si="0"/>
        <v>0.30861111111111111</v>
      </c>
      <c r="H9" s="125">
        <f t="shared" si="0"/>
        <v>0.22486111111111112</v>
      </c>
    </row>
    <row r="10" spans="1:10" ht="51" customHeight="1" thickBot="1" x14ac:dyDescent="0.3">
      <c r="E10" s="72"/>
    </row>
  </sheetData>
  <mergeCells count="8">
    <mergeCell ref="I1:I2"/>
    <mergeCell ref="J1:J2"/>
    <mergeCell ref="A1:A2"/>
    <mergeCell ref="B1:B2"/>
    <mergeCell ref="C1:C2"/>
    <mergeCell ref="D1:D2"/>
    <mergeCell ref="G1:G2"/>
    <mergeCell ref="H1:H2"/>
  </mergeCells>
  <hyperlinks>
    <hyperlink ref="J3" r:id="rId1" display="http://connect.garmin.com/activity/380080163" xr:uid="{EF3BD0A2-CDE9-44A3-A9E9-522C695ADF8C}"/>
    <hyperlink ref="J4" r:id="rId2" display="http://connect.garmin.com/activity/380080073" xr:uid="{38B4FD6B-41CF-4E54-9C4B-C864B578214A}"/>
    <hyperlink ref="J5" r:id="rId3" display="http://connect.garmin.com/activity/380080000" xr:uid="{AF3FF396-2EA0-4769-9B25-4AF5B07D27BA}"/>
    <hyperlink ref="J6" r:id="rId4" display="http://connect.garmin.com/activity/380079940" xr:uid="{F79C178B-ECA9-4E8E-A4A0-DB6D464F313A}"/>
    <hyperlink ref="J7" r:id="rId5" display="http://connect.garmin.com/activity/380079869" xr:uid="{F140DDF3-65A6-4699-A0FB-B62EFC8F9B72}"/>
  </hyperlinks>
  <pageMargins left="0.7" right="0.7" top="0.75" bottom="0.75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612F-C7A0-4DED-B0F5-94A7920DCF0E}">
  <dimension ref="A1:L17"/>
  <sheetViews>
    <sheetView workbookViewId="0">
      <selection activeCell="G16" sqref="G16"/>
    </sheetView>
  </sheetViews>
  <sheetFormatPr defaultRowHeight="24.75" customHeight="1" x14ac:dyDescent="0.25"/>
  <cols>
    <col min="1" max="1" width="12.85546875" bestFit="1" customWidth="1"/>
    <col min="2" max="3" width="20.7109375" bestFit="1" customWidth="1"/>
    <col min="4" max="4" width="28.85546875" bestFit="1" customWidth="1"/>
    <col min="5" max="5" width="10.7109375" customWidth="1"/>
    <col min="6" max="6" width="8.7109375" bestFit="1" customWidth="1"/>
    <col min="7" max="7" width="12.140625" bestFit="1" customWidth="1"/>
    <col min="8" max="8" width="15.85546875" bestFit="1" customWidth="1"/>
    <col min="9" max="9" width="28.85546875" bestFit="1" customWidth="1"/>
    <col min="10" max="10" width="22.5703125" bestFit="1" customWidth="1"/>
    <col min="11" max="11" width="14" bestFit="1" customWidth="1"/>
  </cols>
  <sheetData>
    <row r="1" spans="1:12" ht="24.75" customHeight="1" thickBot="1" x14ac:dyDescent="0.3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2" ht="24.75" customHeight="1" x14ac:dyDescent="0.25">
      <c r="A2" s="368" t="s">
        <v>2</v>
      </c>
      <c r="B2" s="364" t="s">
        <v>0</v>
      </c>
      <c r="C2" s="364" t="s">
        <v>1</v>
      </c>
      <c r="D2" s="364" t="s">
        <v>53</v>
      </c>
      <c r="E2" s="61" t="s">
        <v>4</v>
      </c>
      <c r="F2" s="61" t="s">
        <v>31</v>
      </c>
      <c r="G2" s="364" t="s">
        <v>5</v>
      </c>
      <c r="H2" s="364" t="s">
        <v>33</v>
      </c>
      <c r="I2" s="364" t="s">
        <v>34</v>
      </c>
      <c r="J2" s="364" t="s">
        <v>35</v>
      </c>
      <c r="K2" s="392" t="s">
        <v>54</v>
      </c>
      <c r="L2" s="77"/>
    </row>
    <row r="3" spans="1:12" ht="24.75" customHeight="1" x14ac:dyDescent="0.25">
      <c r="A3" s="397"/>
      <c r="B3" s="391"/>
      <c r="C3" s="391"/>
      <c r="D3" s="391"/>
      <c r="E3" s="71"/>
      <c r="F3" s="71"/>
      <c r="G3" s="391"/>
      <c r="H3" s="391"/>
      <c r="I3" s="391"/>
      <c r="J3" s="391"/>
      <c r="K3" s="393"/>
      <c r="L3" s="78"/>
    </row>
    <row r="4" spans="1:12" ht="24.75" customHeight="1" thickBot="1" x14ac:dyDescent="0.3">
      <c r="A4" s="369"/>
      <c r="B4" s="365"/>
      <c r="C4" s="365"/>
      <c r="D4" s="365"/>
      <c r="E4" s="70" t="s">
        <v>30</v>
      </c>
      <c r="F4" s="70" t="s">
        <v>32</v>
      </c>
      <c r="G4" s="365"/>
      <c r="H4" s="365"/>
      <c r="I4" s="365"/>
      <c r="J4" s="365"/>
      <c r="K4" s="394"/>
      <c r="L4" s="79"/>
    </row>
    <row r="5" spans="1:12" ht="24.75" customHeight="1" x14ac:dyDescent="0.25">
      <c r="A5" s="395" t="s">
        <v>6</v>
      </c>
      <c r="B5" s="385" t="s">
        <v>55</v>
      </c>
      <c r="C5" s="385" t="s">
        <v>56</v>
      </c>
      <c r="D5" s="80" t="s">
        <v>57</v>
      </c>
      <c r="E5" s="376">
        <v>94.375</v>
      </c>
      <c r="F5" s="385">
        <v>2937</v>
      </c>
      <c r="G5" s="396">
        <v>0.31736111111111115</v>
      </c>
      <c r="H5" s="396">
        <v>0.26458333333333334</v>
      </c>
      <c r="I5" s="385">
        <v>23.8</v>
      </c>
      <c r="J5" s="398" t="s">
        <v>39</v>
      </c>
      <c r="K5" s="388" t="s">
        <v>39</v>
      </c>
      <c r="L5" s="77"/>
    </row>
    <row r="6" spans="1:12" ht="24.75" customHeight="1" thickBot="1" x14ac:dyDescent="0.3">
      <c r="A6" s="387"/>
      <c r="B6" s="371"/>
      <c r="C6" s="371"/>
      <c r="D6" s="49" t="s">
        <v>58</v>
      </c>
      <c r="E6" s="377"/>
      <c r="F6" s="371"/>
      <c r="G6" s="381"/>
      <c r="H6" s="381"/>
      <c r="I6" s="371"/>
      <c r="J6" s="373"/>
      <c r="K6" s="375"/>
      <c r="L6" s="78"/>
    </row>
    <row r="7" spans="1:12" ht="24.75" customHeight="1" x14ac:dyDescent="0.25">
      <c r="A7" s="386" t="s">
        <v>7</v>
      </c>
      <c r="B7" s="370" t="s">
        <v>56</v>
      </c>
      <c r="C7" s="370" t="s">
        <v>59</v>
      </c>
      <c r="D7" s="57" t="s">
        <v>60</v>
      </c>
      <c r="E7" s="378">
        <v>85</v>
      </c>
      <c r="F7" s="370">
        <v>2754</v>
      </c>
      <c r="G7" s="380">
        <v>0.3034722222222222</v>
      </c>
      <c r="H7" s="380">
        <v>0.25625000000000003</v>
      </c>
      <c r="I7" s="370">
        <v>22.2</v>
      </c>
      <c r="J7" s="372" t="s">
        <v>42</v>
      </c>
      <c r="K7" s="374" t="s">
        <v>42</v>
      </c>
      <c r="L7" s="78"/>
    </row>
    <row r="8" spans="1:12" ht="24.75" customHeight="1" x14ac:dyDescent="0.25">
      <c r="A8" s="389"/>
      <c r="B8" s="382"/>
      <c r="C8" s="382"/>
      <c r="D8" s="57" t="s">
        <v>61</v>
      </c>
      <c r="E8" s="379"/>
      <c r="F8" s="382"/>
      <c r="G8" s="390"/>
      <c r="H8" s="390"/>
      <c r="I8" s="382"/>
      <c r="J8" s="383"/>
      <c r="K8" s="384"/>
      <c r="L8" s="78"/>
    </row>
    <row r="9" spans="1:12" ht="24.75" customHeight="1" thickBot="1" x14ac:dyDescent="0.3">
      <c r="A9" s="387"/>
      <c r="B9" s="371"/>
      <c r="C9" s="371"/>
      <c r="D9" s="49" t="s">
        <v>62</v>
      </c>
      <c r="E9" s="377"/>
      <c r="F9" s="371"/>
      <c r="G9" s="381"/>
      <c r="H9" s="381"/>
      <c r="I9" s="371"/>
      <c r="J9" s="373"/>
      <c r="K9" s="375"/>
      <c r="L9" s="78"/>
    </row>
    <row r="10" spans="1:12" ht="24.75" customHeight="1" thickBot="1" x14ac:dyDescent="0.3">
      <c r="A10" s="62" t="s">
        <v>8</v>
      </c>
      <c r="B10" s="49" t="s">
        <v>59</v>
      </c>
      <c r="C10" s="49" t="s">
        <v>63</v>
      </c>
      <c r="D10" s="51" t="s">
        <v>64</v>
      </c>
      <c r="E10" s="100">
        <v>58.75</v>
      </c>
      <c r="F10" s="49">
        <v>2600</v>
      </c>
      <c r="G10" s="50">
        <v>0.23541666666666669</v>
      </c>
      <c r="H10" s="50">
        <v>0.21388888888888891</v>
      </c>
      <c r="I10" s="49">
        <v>18.3</v>
      </c>
      <c r="J10" s="51" t="s">
        <v>45</v>
      </c>
      <c r="K10" s="55" t="s">
        <v>45</v>
      </c>
      <c r="L10" s="78"/>
    </row>
    <row r="11" spans="1:12" ht="24.75" customHeight="1" x14ac:dyDescent="0.25">
      <c r="A11" s="386" t="s">
        <v>9</v>
      </c>
      <c r="B11" s="370" t="s">
        <v>63</v>
      </c>
      <c r="C11" s="370" t="s">
        <v>65</v>
      </c>
      <c r="D11" s="57" t="s">
        <v>66</v>
      </c>
      <c r="E11" s="378">
        <v>118.125</v>
      </c>
      <c r="F11" s="370">
        <v>1306</v>
      </c>
      <c r="G11" s="380">
        <v>0.30902777777777779</v>
      </c>
      <c r="H11" s="380">
        <v>0.25069444444444444</v>
      </c>
      <c r="I11" s="370">
        <v>31.4</v>
      </c>
      <c r="J11" s="372" t="s">
        <v>48</v>
      </c>
      <c r="K11" s="374" t="s">
        <v>48</v>
      </c>
      <c r="L11" s="78"/>
    </row>
    <row r="12" spans="1:12" ht="24.75" customHeight="1" thickBot="1" x14ac:dyDescent="0.3">
      <c r="A12" s="387"/>
      <c r="B12" s="371"/>
      <c r="C12" s="371"/>
      <c r="D12" s="49" t="s">
        <v>67</v>
      </c>
      <c r="E12" s="377"/>
      <c r="F12" s="371"/>
      <c r="G12" s="381"/>
      <c r="H12" s="381"/>
      <c r="I12" s="371"/>
      <c r="J12" s="373"/>
      <c r="K12" s="375"/>
      <c r="L12" s="78"/>
    </row>
    <row r="13" spans="1:12" ht="24.75" customHeight="1" x14ac:dyDescent="0.25">
      <c r="A13" s="386" t="s">
        <v>10</v>
      </c>
      <c r="B13" s="370" t="s">
        <v>65</v>
      </c>
      <c r="C13" s="370" t="s">
        <v>68</v>
      </c>
      <c r="D13" s="57" t="s">
        <v>69</v>
      </c>
      <c r="E13" s="378">
        <v>105.625</v>
      </c>
      <c r="F13" s="370">
        <v>2752</v>
      </c>
      <c r="G13" s="380">
        <v>0.33749999999999997</v>
      </c>
      <c r="H13" s="380">
        <v>0.26527777777777778</v>
      </c>
      <c r="I13" s="370">
        <v>26.5</v>
      </c>
      <c r="J13" s="372" t="s">
        <v>51</v>
      </c>
      <c r="K13" s="374" t="s">
        <v>51</v>
      </c>
      <c r="L13" s="78"/>
    </row>
    <row r="14" spans="1:12" ht="24.75" customHeight="1" thickBot="1" x14ac:dyDescent="0.3">
      <c r="A14" s="387"/>
      <c r="B14" s="371"/>
      <c r="C14" s="371"/>
      <c r="D14" s="51" t="s">
        <v>70</v>
      </c>
      <c r="E14" s="377"/>
      <c r="F14" s="371"/>
      <c r="G14" s="381"/>
      <c r="H14" s="381"/>
      <c r="I14" s="371"/>
      <c r="J14" s="373"/>
      <c r="K14" s="375"/>
      <c r="L14" s="78"/>
    </row>
    <row r="15" spans="1:12" ht="24.75" customHeight="1" thickBot="1" x14ac:dyDescent="0.3">
      <c r="A15" s="64" t="s">
        <v>11</v>
      </c>
      <c r="B15" s="65" t="s">
        <v>68</v>
      </c>
      <c r="C15" s="65" t="s">
        <v>22</v>
      </c>
      <c r="D15" s="65" t="s">
        <v>71</v>
      </c>
      <c r="E15" s="101">
        <v>60</v>
      </c>
      <c r="F15" s="65">
        <v>1278</v>
      </c>
      <c r="G15" s="66">
        <v>0.20277777777777781</v>
      </c>
      <c r="H15" s="66">
        <v>0.16180555555555556</v>
      </c>
      <c r="I15" s="65">
        <v>24.8</v>
      </c>
      <c r="J15" s="81" t="s">
        <v>72</v>
      </c>
      <c r="K15" s="82" t="s">
        <v>72</v>
      </c>
      <c r="L15" s="79"/>
    </row>
    <row r="16" spans="1:12" ht="24.75" customHeight="1" thickBot="1" x14ac:dyDescent="0.3">
      <c r="A16" s="102"/>
      <c r="B16" s="104"/>
      <c r="C16" s="112"/>
      <c r="D16" s="105" t="s">
        <v>52</v>
      </c>
      <c r="E16" s="106">
        <v>521.875</v>
      </c>
      <c r="F16" s="107">
        <v>13627</v>
      </c>
      <c r="G16" s="95">
        <f>SUM(G5:G15)</f>
        <v>1.7055555555555555</v>
      </c>
      <c r="H16" s="95">
        <f>SUM(H5:H15)</f>
        <v>1.4125000000000001</v>
      </c>
      <c r="I16" s="108">
        <v>24.6</v>
      </c>
      <c r="J16" s="49"/>
      <c r="K16" s="76"/>
    </row>
    <row r="17" spans="1:11" ht="24.75" customHeight="1" thickBot="1" x14ac:dyDescent="0.3">
      <c r="A17" s="103"/>
      <c r="B17" s="64" t="s">
        <v>147</v>
      </c>
      <c r="C17" s="113">
        <v>6</v>
      </c>
      <c r="D17" s="109" t="s">
        <v>15</v>
      </c>
      <c r="E17" s="110">
        <v>86.979166666666671</v>
      </c>
      <c r="F17" s="110">
        <f t="shared" ref="F17:H17" si="0">F16/$C$17</f>
        <v>2271.1666666666665</v>
      </c>
      <c r="G17" s="96">
        <f>G16/$C$17</f>
        <v>0.28425925925925927</v>
      </c>
      <c r="H17" s="96">
        <f t="shared" si="0"/>
        <v>0.23541666666666669</v>
      </c>
      <c r="I17" s="111">
        <v>24.6</v>
      </c>
      <c r="J17" s="57"/>
      <c r="K17" s="46"/>
    </row>
  </sheetData>
  <mergeCells count="49">
    <mergeCell ref="I2:I4"/>
    <mergeCell ref="J2:J4"/>
    <mergeCell ref="K2:K4"/>
    <mergeCell ref="A5:A6"/>
    <mergeCell ref="B5:B6"/>
    <mergeCell ref="C5:C6"/>
    <mergeCell ref="F5:F6"/>
    <mergeCell ref="G5:G6"/>
    <mergeCell ref="H5:H6"/>
    <mergeCell ref="A2:A4"/>
    <mergeCell ref="B2:B4"/>
    <mergeCell ref="C2:C4"/>
    <mergeCell ref="D2:D4"/>
    <mergeCell ref="G2:G4"/>
    <mergeCell ref="H2:H4"/>
    <mergeCell ref="J5:J6"/>
    <mergeCell ref="K5:K6"/>
    <mergeCell ref="A7:A9"/>
    <mergeCell ref="B7:B9"/>
    <mergeCell ref="C7:C9"/>
    <mergeCell ref="F7:F9"/>
    <mergeCell ref="G7:G9"/>
    <mergeCell ref="H7:H9"/>
    <mergeCell ref="A11:A12"/>
    <mergeCell ref="B11:B12"/>
    <mergeCell ref="C11:C12"/>
    <mergeCell ref="F11:F12"/>
    <mergeCell ref="G11:G12"/>
    <mergeCell ref="A13:A14"/>
    <mergeCell ref="B13:B14"/>
    <mergeCell ref="C13:C14"/>
    <mergeCell ref="F13:F14"/>
    <mergeCell ref="G13:G14"/>
    <mergeCell ref="I13:I14"/>
    <mergeCell ref="J13:J14"/>
    <mergeCell ref="K13:K14"/>
    <mergeCell ref="E5:E6"/>
    <mergeCell ref="E7:E9"/>
    <mergeCell ref="E11:E12"/>
    <mergeCell ref="E13:E14"/>
    <mergeCell ref="I11:I12"/>
    <mergeCell ref="J11:J12"/>
    <mergeCell ref="K11:K12"/>
    <mergeCell ref="H13:H14"/>
    <mergeCell ref="I7:I9"/>
    <mergeCell ref="J7:J9"/>
    <mergeCell ref="K7:K9"/>
    <mergeCell ref="H11:H12"/>
    <mergeCell ref="I5:I6"/>
  </mergeCells>
  <hyperlinks>
    <hyperlink ref="J5" r:id="rId1" display="http://connect.garmin.com/activity/586144014" xr:uid="{3FABA7DC-3ECB-40A1-B60D-B1596A78CCAD}"/>
    <hyperlink ref="K5" r:id="rId2" display="http://www.strava.com/activities/191794347" xr:uid="{CDEFB16C-0285-46E7-A52A-F57FD5AFE790}"/>
    <hyperlink ref="J7" r:id="rId3" display="http://connect.garmin.com/activity/586143697" xr:uid="{32616E67-519B-4804-9D9D-EC9E4CE3F31A}"/>
    <hyperlink ref="K7" r:id="rId4" display="http://www.strava.com/activities/191794216/" xr:uid="{30A76FD8-59C2-4C45-B6D4-06DD3260879A}"/>
    <hyperlink ref="D10" r:id="rId5" display="http://en.wikipedia.org/wiki/Stelvio_Pass" xr:uid="{82512CF4-DB80-4C61-953F-C0E000842157}"/>
    <hyperlink ref="J10" r:id="rId6" display="http://connect.garmin.com/activity/586143478" xr:uid="{ADCF4E76-FE05-493E-8DAB-5896CD43B0B4}"/>
    <hyperlink ref="K10" r:id="rId7" display="http://www.strava.com/activities/191790129" xr:uid="{C549FE40-7C8F-432F-8C69-8390AD41087C}"/>
    <hyperlink ref="J11" r:id="rId8" display="http://connect.garmin.com/activity/586143296" xr:uid="{F4F0C25F-8E24-4E1F-A2A2-608EAB3A889D}"/>
    <hyperlink ref="K11" r:id="rId9" display="http://www.strava.com/activities/191789910" xr:uid="{AB0F3377-90F4-464E-9EFA-D4B235260294}"/>
    <hyperlink ref="D14" r:id="rId10" display="http://en.wikipedia.org/wiki/Simplon_Pass" xr:uid="{F211BF77-5CFA-4F96-ACBE-0319D8A1B660}"/>
    <hyperlink ref="J13" r:id="rId11" display="http://connect.garmin.com/activity/586143074" xr:uid="{2B518812-F870-4898-BF03-DECD8A5E0AFB}"/>
    <hyperlink ref="K13" r:id="rId12" display="http://www.strava.com/activities/191789714" xr:uid="{353ECBC9-7675-4A1E-B121-81D2C644436C}"/>
    <hyperlink ref="J15" r:id="rId13" display="http://connect.garmin.com/activity/586148643" xr:uid="{C5631898-1A82-4D4B-8561-2F6C3D8F76BA}"/>
    <hyperlink ref="K15" r:id="rId14" display="http://www.strava.com/activities/191789520" xr:uid="{A12B77F2-6F45-4A61-B878-986BEA5587D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D704-CC17-4EF7-9B17-99DCC9941859}">
  <dimension ref="A1:L17"/>
  <sheetViews>
    <sheetView workbookViewId="0">
      <selection activeCell="Q13" sqref="Q13"/>
    </sheetView>
  </sheetViews>
  <sheetFormatPr defaultRowHeight="28.5" customHeight="1" x14ac:dyDescent="0.25"/>
  <cols>
    <col min="1" max="1" width="16.28515625" bestFit="1" customWidth="1"/>
    <col min="2" max="3" width="13.140625" bestFit="1" customWidth="1"/>
    <col min="4" max="4" width="59.42578125" bestFit="1" customWidth="1"/>
    <col min="5" max="5" width="13.42578125" bestFit="1" customWidth="1"/>
    <col min="6" max="7" width="10.7109375" customWidth="1"/>
    <col min="8" max="8" width="8.7109375" bestFit="1" customWidth="1"/>
    <col min="9" max="10" width="12.140625" bestFit="1" customWidth="1"/>
    <col min="11" max="11" width="24.7109375" bestFit="1" customWidth="1"/>
    <col min="12" max="12" width="22.85546875" bestFit="1" customWidth="1"/>
  </cols>
  <sheetData>
    <row r="1" spans="1:12" ht="28.5" customHeight="1" thickBot="1" x14ac:dyDescent="0.3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8.5" customHeight="1" x14ac:dyDescent="0.25">
      <c r="A2" s="368" t="s">
        <v>2</v>
      </c>
      <c r="B2" s="364" t="s">
        <v>0</v>
      </c>
      <c r="C2" s="364" t="s">
        <v>1</v>
      </c>
      <c r="D2" s="364" t="s">
        <v>24</v>
      </c>
      <c r="E2" s="364" t="s">
        <v>3</v>
      </c>
      <c r="F2" s="61" t="s">
        <v>4</v>
      </c>
      <c r="G2" s="61" t="s">
        <v>4</v>
      </c>
      <c r="H2" s="61" t="s">
        <v>31</v>
      </c>
      <c r="I2" s="364" t="s">
        <v>5</v>
      </c>
      <c r="J2" s="364" t="s">
        <v>33</v>
      </c>
      <c r="K2" s="406" t="s">
        <v>73</v>
      </c>
      <c r="L2" s="85" t="s">
        <v>74</v>
      </c>
    </row>
    <row r="3" spans="1:12" ht="28.5" customHeight="1" x14ac:dyDescent="0.25">
      <c r="A3" s="397"/>
      <c r="B3" s="391"/>
      <c r="C3" s="391"/>
      <c r="D3" s="391"/>
      <c r="E3" s="391"/>
      <c r="F3" s="47" t="s">
        <v>30</v>
      </c>
      <c r="G3" s="47" t="s">
        <v>297</v>
      </c>
      <c r="H3" s="47" t="s">
        <v>32</v>
      </c>
      <c r="I3" s="391"/>
      <c r="J3" s="391"/>
      <c r="K3" s="407"/>
      <c r="L3" s="86" t="s">
        <v>75</v>
      </c>
    </row>
    <row r="4" spans="1:12" ht="28.5" customHeight="1" thickBot="1" x14ac:dyDescent="0.3">
      <c r="A4" s="412"/>
      <c r="B4" s="411"/>
      <c r="C4" s="411"/>
      <c r="D4" s="411"/>
      <c r="E4" s="411"/>
      <c r="F4" s="48"/>
      <c r="G4" s="48"/>
      <c r="H4" s="48"/>
      <c r="I4" s="411"/>
      <c r="J4" s="411"/>
      <c r="K4" s="408"/>
      <c r="L4" s="87" t="s">
        <v>76</v>
      </c>
    </row>
    <row r="5" spans="1:12" ht="28.5" customHeight="1" x14ac:dyDescent="0.25">
      <c r="A5" s="386" t="s">
        <v>77</v>
      </c>
      <c r="B5" s="370" t="s">
        <v>21</v>
      </c>
      <c r="C5" s="370" t="s">
        <v>78</v>
      </c>
      <c r="D5" s="57" t="s">
        <v>79</v>
      </c>
      <c r="E5" s="402">
        <v>42246</v>
      </c>
      <c r="F5" s="99"/>
      <c r="G5" s="290"/>
      <c r="H5" s="370">
        <v>3170</v>
      </c>
      <c r="I5" s="380">
        <v>0.30972222222222223</v>
      </c>
      <c r="J5" s="380">
        <v>0.21875</v>
      </c>
      <c r="K5" s="404" t="s">
        <v>39</v>
      </c>
      <c r="L5" s="399" t="s">
        <v>39</v>
      </c>
    </row>
    <row r="6" spans="1:12" ht="28.5" customHeight="1" x14ac:dyDescent="0.25">
      <c r="A6" s="389"/>
      <c r="B6" s="382"/>
      <c r="C6" s="382"/>
      <c r="D6" s="57" t="s">
        <v>80</v>
      </c>
      <c r="E6" s="409"/>
      <c r="F6" s="114">
        <v>65</v>
      </c>
      <c r="G6" s="292">
        <f>F6*1.6</f>
        <v>104</v>
      </c>
      <c r="H6" s="382"/>
      <c r="I6" s="390"/>
      <c r="J6" s="390"/>
      <c r="K6" s="410"/>
      <c r="L6" s="400"/>
    </row>
    <row r="7" spans="1:12" ht="28.5" customHeight="1" thickBot="1" x14ac:dyDescent="0.3">
      <c r="A7" s="387"/>
      <c r="B7" s="371"/>
      <c r="C7" s="371"/>
      <c r="D7" s="49" t="s">
        <v>81</v>
      </c>
      <c r="E7" s="403"/>
      <c r="F7" s="115"/>
      <c r="G7" s="291"/>
      <c r="H7" s="371"/>
      <c r="I7" s="381"/>
      <c r="J7" s="381"/>
      <c r="K7" s="405"/>
      <c r="L7" s="401"/>
    </row>
    <row r="8" spans="1:12" ht="28.5" customHeight="1" thickBot="1" x14ac:dyDescent="0.3">
      <c r="A8" s="62" t="s">
        <v>82</v>
      </c>
      <c r="B8" s="49" t="s">
        <v>78</v>
      </c>
      <c r="C8" s="49" t="s">
        <v>83</v>
      </c>
      <c r="D8" s="49" t="s">
        <v>84</v>
      </c>
      <c r="E8" s="83">
        <v>42247</v>
      </c>
      <c r="F8" s="100">
        <v>76.25</v>
      </c>
      <c r="G8" s="100">
        <f t="shared" ref="G8:G14" si="0">F8*1.6</f>
        <v>122</v>
      </c>
      <c r="H8" s="49">
        <v>2978</v>
      </c>
      <c r="I8" s="50">
        <v>0.32708333333333334</v>
      </c>
      <c r="J8" s="50">
        <v>0.24236111111111111</v>
      </c>
      <c r="K8" s="84" t="s">
        <v>42</v>
      </c>
      <c r="L8" s="88" t="s">
        <v>42</v>
      </c>
    </row>
    <row r="9" spans="1:12" ht="28.5" customHeight="1" thickBot="1" x14ac:dyDescent="0.3">
      <c r="A9" s="386" t="s">
        <v>85</v>
      </c>
      <c r="B9" s="370" t="s">
        <v>83</v>
      </c>
      <c r="C9" s="370" t="s">
        <v>86</v>
      </c>
      <c r="D9" s="57" t="s">
        <v>87</v>
      </c>
      <c r="E9" s="402">
        <v>42248</v>
      </c>
      <c r="F9" s="100">
        <v>89.375</v>
      </c>
      <c r="G9" s="100">
        <f t="shared" si="0"/>
        <v>143</v>
      </c>
      <c r="H9" s="370">
        <v>3846</v>
      </c>
      <c r="I9" s="380">
        <v>0.41666666666666669</v>
      </c>
      <c r="J9" s="380">
        <v>0.33402777777777781</v>
      </c>
      <c r="K9" s="404" t="s">
        <v>45</v>
      </c>
      <c r="L9" s="399" t="s">
        <v>45</v>
      </c>
    </row>
    <row r="10" spans="1:12" ht="28.5" customHeight="1" thickBot="1" x14ac:dyDescent="0.3">
      <c r="A10" s="387"/>
      <c r="B10" s="371"/>
      <c r="C10" s="371"/>
      <c r="D10" s="49" t="s">
        <v>88</v>
      </c>
      <c r="E10" s="403"/>
      <c r="F10" s="100"/>
      <c r="G10" s="100"/>
      <c r="H10" s="371"/>
      <c r="I10" s="381"/>
      <c r="J10" s="381"/>
      <c r="K10" s="405"/>
      <c r="L10" s="401"/>
    </row>
    <row r="11" spans="1:12" ht="28.5" customHeight="1" thickBot="1" x14ac:dyDescent="0.3">
      <c r="A11" s="62" t="s">
        <v>89</v>
      </c>
      <c r="B11" s="49" t="s">
        <v>86</v>
      </c>
      <c r="C11" s="49" t="s">
        <v>18</v>
      </c>
      <c r="D11" s="49" t="s">
        <v>90</v>
      </c>
      <c r="E11" s="83">
        <v>42249</v>
      </c>
      <c r="F11" s="100">
        <v>99.375</v>
      </c>
      <c r="G11" s="100">
        <f t="shared" si="0"/>
        <v>159</v>
      </c>
      <c r="H11" s="49">
        <v>4001</v>
      </c>
      <c r="I11" s="50">
        <v>0.4145833333333333</v>
      </c>
      <c r="J11" s="50">
        <v>0.33263888888888887</v>
      </c>
      <c r="K11" s="84" t="s">
        <v>48</v>
      </c>
      <c r="L11" s="88" t="s">
        <v>48</v>
      </c>
    </row>
    <row r="12" spans="1:12" ht="28.5" customHeight="1" thickBot="1" x14ac:dyDescent="0.3">
      <c r="A12" s="62" t="s">
        <v>91</v>
      </c>
      <c r="B12" s="49" t="s">
        <v>18</v>
      </c>
      <c r="C12" s="49" t="s">
        <v>92</v>
      </c>
      <c r="D12" s="49" t="s">
        <v>93</v>
      </c>
      <c r="E12" s="83">
        <v>42250</v>
      </c>
      <c r="F12" s="100">
        <v>87.5</v>
      </c>
      <c r="G12" s="100">
        <f t="shared" si="0"/>
        <v>140</v>
      </c>
      <c r="H12" s="49">
        <v>3791</v>
      </c>
      <c r="I12" s="50">
        <v>0.36458333333333331</v>
      </c>
      <c r="J12" s="50">
        <v>0.29652777777777778</v>
      </c>
      <c r="K12" s="84" t="s">
        <v>51</v>
      </c>
      <c r="L12" s="88" t="s">
        <v>51</v>
      </c>
    </row>
    <row r="13" spans="1:12" ht="28.5" customHeight="1" thickBot="1" x14ac:dyDescent="0.3">
      <c r="A13" s="62" t="s">
        <v>94</v>
      </c>
      <c r="B13" s="49" t="s">
        <v>92</v>
      </c>
      <c r="C13" s="49" t="s">
        <v>95</v>
      </c>
      <c r="D13" s="49" t="s">
        <v>96</v>
      </c>
      <c r="E13" s="83">
        <v>42251</v>
      </c>
      <c r="F13" s="100">
        <v>96.875</v>
      </c>
      <c r="G13" s="100">
        <f t="shared" si="0"/>
        <v>155</v>
      </c>
      <c r="H13" s="49">
        <v>3155</v>
      </c>
      <c r="I13" s="50">
        <v>0.39374999999999999</v>
      </c>
      <c r="J13" s="50">
        <v>0.30208333333333331</v>
      </c>
      <c r="K13" s="84" t="s">
        <v>72</v>
      </c>
      <c r="L13" s="88" t="s">
        <v>72</v>
      </c>
    </row>
    <row r="14" spans="1:12" ht="28.5" customHeight="1" thickBot="1" x14ac:dyDescent="0.3">
      <c r="A14" s="64" t="s">
        <v>97</v>
      </c>
      <c r="B14" s="65" t="s">
        <v>95</v>
      </c>
      <c r="C14" s="65" t="s">
        <v>98</v>
      </c>
      <c r="D14" s="65" t="s">
        <v>71</v>
      </c>
      <c r="E14" s="89">
        <v>42252</v>
      </c>
      <c r="F14" s="101">
        <v>54.375</v>
      </c>
      <c r="G14" s="101">
        <f t="shared" si="0"/>
        <v>87</v>
      </c>
      <c r="H14" s="65">
        <v>1301</v>
      </c>
      <c r="I14" s="66">
        <v>0.24791666666666667</v>
      </c>
      <c r="J14" s="66">
        <v>0.14375000000000002</v>
      </c>
      <c r="K14" s="90" t="s">
        <v>99</v>
      </c>
      <c r="L14" s="91" t="s">
        <v>99</v>
      </c>
    </row>
    <row r="15" spans="1:12" ht="28.5" customHeight="1" thickBot="1" x14ac:dyDescent="0.3">
      <c r="A15" s="56"/>
      <c r="B15" s="59"/>
      <c r="C15" s="98"/>
      <c r="D15" s="69"/>
      <c r="E15" s="116" t="s">
        <v>52</v>
      </c>
      <c r="F15" s="117">
        <v>568.75</v>
      </c>
      <c r="G15" s="117"/>
      <c r="H15" s="118">
        <v>22242</v>
      </c>
      <c r="I15" s="126">
        <f>SUM(I5:I14)</f>
        <v>2.4743055555555555</v>
      </c>
      <c r="J15" s="119">
        <f>SUM(J5:J14)</f>
        <v>1.8701388888888888</v>
      </c>
      <c r="K15" s="57"/>
      <c r="L15" s="46"/>
    </row>
    <row r="16" spans="1:12" ht="28.5" customHeight="1" thickBot="1" x14ac:dyDescent="0.3"/>
    <row r="17" spans="1:12" ht="28.5" customHeight="1" thickBot="1" x14ac:dyDescent="0.3">
      <c r="A17" s="56"/>
      <c r="B17" s="59"/>
      <c r="C17" s="98" t="s">
        <v>147</v>
      </c>
      <c r="D17" s="69">
        <v>7</v>
      </c>
      <c r="E17" s="116" t="s">
        <v>15</v>
      </c>
      <c r="F17" s="117">
        <v>81.25</v>
      </c>
      <c r="G17" s="117"/>
      <c r="H17" s="118">
        <f t="shared" ref="H17" si="1">H15/$D$17</f>
        <v>3177.4285714285716</v>
      </c>
      <c r="I17" s="119">
        <f>I15/$D$17</f>
        <v>0.35347222222222224</v>
      </c>
      <c r="J17" s="119">
        <f>J15/$D$17</f>
        <v>0.26716269841269841</v>
      </c>
      <c r="K17" s="57"/>
      <c r="L17" s="46"/>
    </row>
  </sheetData>
  <mergeCells count="26">
    <mergeCell ref="K2:K4"/>
    <mergeCell ref="A5:A7"/>
    <mergeCell ref="B5:B7"/>
    <mergeCell ref="C5:C7"/>
    <mergeCell ref="E5:E7"/>
    <mergeCell ref="H5:H7"/>
    <mergeCell ref="J5:J7"/>
    <mergeCell ref="K5:K7"/>
    <mergeCell ref="I2:I4"/>
    <mergeCell ref="A2:A4"/>
    <mergeCell ref="B2:B4"/>
    <mergeCell ref="C2:C4"/>
    <mergeCell ref="D2:D4"/>
    <mergeCell ref="E2:E4"/>
    <mergeCell ref="J2:J4"/>
    <mergeCell ref="I5:I7"/>
    <mergeCell ref="I9:I10"/>
    <mergeCell ref="L5:L7"/>
    <mergeCell ref="A9:A10"/>
    <mergeCell ref="B9:B10"/>
    <mergeCell ref="C9:C10"/>
    <mergeCell ref="E9:E10"/>
    <mergeCell ref="H9:H10"/>
    <mergeCell ref="J9:J10"/>
    <mergeCell ref="K9:K10"/>
    <mergeCell ref="L9:L10"/>
  </mergeCells>
  <hyperlinks>
    <hyperlink ref="K5" r:id="rId1" display="https://connect.garmin.com/modern/activity/882581897" xr:uid="{5261EB1E-90C7-44ED-B0C2-0DBEB7AB56CD}"/>
    <hyperlink ref="L5" r:id="rId2" display="http://www.gpsies.com/map.do?fileId=tmwmbdytgaoyjjqb" xr:uid="{9FBBC906-B3AC-4E4E-A69C-70FE0759AEF3}"/>
    <hyperlink ref="K8" r:id="rId3" display="https://connect.garmin.com/modern/activity/883681397" xr:uid="{C8977463-AB21-46EC-B453-60B11251539A}"/>
    <hyperlink ref="L8" r:id="rId4" display="http://www.gpsies.com/map.do?fileId=fuydhwgsbaptnvrs" xr:uid="{77185FD1-69B5-4807-886F-8AECBB07E280}"/>
    <hyperlink ref="K9" r:id="rId5" display="https://connect.garmin.com/modern/activity/884808435" xr:uid="{67C4EA31-893E-49C4-9AA5-A0A2222277DE}"/>
    <hyperlink ref="L9" r:id="rId6" display="http://www.gpsies.com/map.do?fileId=nkswxkfjrgutwftj" xr:uid="{D49CEACB-00A3-49E2-9EFD-F528DF666BEC}"/>
    <hyperlink ref="K11" r:id="rId7" display="https://connect.garmin.com/modern/activity/885920339" xr:uid="{4208007B-D047-465A-BAE2-E64A9880E84A}"/>
    <hyperlink ref="L11" r:id="rId8" display="http://www.gpsies.com/map.do?fileId=dchporjpxhnilxej" xr:uid="{8C212A60-FA3C-4394-9143-15416189E4D9}"/>
    <hyperlink ref="K12" r:id="rId9" display="https://connect.garmin.com/modern/activity/886853645" xr:uid="{DD68D7BD-3E16-4306-B574-DF4C8CF7E4CE}"/>
    <hyperlink ref="L12" r:id="rId10" display="http://www.gpsies.com/map.do?fileId=lakgbuxdpqqoavlc" xr:uid="{4EB183A1-918A-4FD7-BD8C-C784D9CEB159}"/>
    <hyperlink ref="K13" r:id="rId11" display="https://connect.garmin.com/modern/activity/887785291" xr:uid="{0987CB8A-7522-4D7F-A095-CC36E74C86E2}"/>
    <hyperlink ref="L13" r:id="rId12" display="http://www.gpsies.com/map.do;jsessionid=2399F26F515FD835E39A5CBE9F20C59F?fileId=fuwetbtxngsxzjng" xr:uid="{FF7542F6-CA05-4CE8-B109-92FB51B60E3C}"/>
    <hyperlink ref="K14" r:id="rId13" display="https://connect.garmin.com/modern/activity/888575440" xr:uid="{10BACAA4-5B08-4767-9561-6D9054F60809}"/>
    <hyperlink ref="L14" r:id="rId14" display="http://www.gpsies.com/map.do?fileId=typlnthlpulhjqeo" xr:uid="{1A0C124F-8337-43ED-92EA-817C4B9D8F8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4E0EB-6290-4239-90AE-3CF9FD04E5BC}">
  <dimension ref="A1:J15"/>
  <sheetViews>
    <sheetView workbookViewId="0">
      <selection activeCell="D19" sqref="D19"/>
    </sheetView>
  </sheetViews>
  <sheetFormatPr defaultColWidth="21.85546875" defaultRowHeight="26.25" customHeight="1" x14ac:dyDescent="0.25"/>
  <cols>
    <col min="8" max="8" width="14.5703125" customWidth="1"/>
  </cols>
  <sheetData>
    <row r="1" spans="1:10" ht="26.25" customHeight="1" x14ac:dyDescent="0.25">
      <c r="A1" s="415" t="s">
        <v>100</v>
      </c>
      <c r="B1" s="415" t="s">
        <v>101</v>
      </c>
      <c r="C1" s="415" t="s">
        <v>102</v>
      </c>
      <c r="D1" s="415" t="s">
        <v>104</v>
      </c>
      <c r="E1" s="415" t="s">
        <v>105</v>
      </c>
      <c r="F1" s="415" t="s">
        <v>106</v>
      </c>
      <c r="G1" s="52" t="s">
        <v>107</v>
      </c>
      <c r="H1" s="53" t="s">
        <v>108</v>
      </c>
      <c r="I1" s="364" t="s">
        <v>5</v>
      </c>
      <c r="J1" s="364" t="s">
        <v>33</v>
      </c>
    </row>
    <row r="2" spans="1:10" ht="26.25" customHeight="1" x14ac:dyDescent="0.25">
      <c r="A2" s="391"/>
      <c r="B2" s="391"/>
      <c r="C2" s="391"/>
      <c r="D2" s="391"/>
      <c r="E2" s="391"/>
      <c r="F2" s="391"/>
      <c r="G2" s="47" t="s">
        <v>30</v>
      </c>
      <c r="H2" s="75" t="s">
        <v>32</v>
      </c>
      <c r="I2" s="391"/>
      <c r="J2" s="391"/>
    </row>
    <row r="3" spans="1:10" ht="26.25" customHeight="1" thickBot="1" x14ac:dyDescent="0.3">
      <c r="A3" s="411"/>
      <c r="B3" s="411"/>
      <c r="C3" s="411"/>
      <c r="D3" s="411"/>
      <c r="E3" s="411"/>
      <c r="F3" s="411"/>
      <c r="G3" s="48"/>
      <c r="H3" s="92"/>
      <c r="I3" s="411"/>
      <c r="J3" s="411"/>
    </row>
    <row r="4" spans="1:10" ht="26.25" customHeight="1" thickBot="1" x14ac:dyDescent="0.3">
      <c r="A4" s="54"/>
      <c r="B4" s="49" t="s">
        <v>109</v>
      </c>
      <c r="C4" s="49" t="s">
        <v>110</v>
      </c>
      <c r="D4" s="49" t="s">
        <v>111</v>
      </c>
      <c r="E4" s="49"/>
      <c r="F4" s="49"/>
      <c r="G4" s="49"/>
      <c r="H4" s="76"/>
    </row>
    <row r="5" spans="1:10" ht="26.25" customHeight="1" thickBot="1" x14ac:dyDescent="0.3">
      <c r="A5" s="54" t="s">
        <v>112</v>
      </c>
      <c r="B5" s="49" t="s">
        <v>110</v>
      </c>
      <c r="C5" s="49" t="s">
        <v>113</v>
      </c>
      <c r="D5" s="49" t="s">
        <v>114</v>
      </c>
      <c r="E5" s="51" t="s">
        <v>115</v>
      </c>
      <c r="F5" s="51" t="s">
        <v>116</v>
      </c>
      <c r="G5" s="49">
        <v>102</v>
      </c>
      <c r="H5" s="76">
        <v>2470</v>
      </c>
      <c r="I5" s="60">
        <v>0.3611111111111111</v>
      </c>
      <c r="J5" s="60">
        <v>0.25138888888888888</v>
      </c>
    </row>
    <row r="6" spans="1:10" ht="26.25" customHeight="1" thickBot="1" x14ac:dyDescent="0.3">
      <c r="A6" s="54" t="s">
        <v>117</v>
      </c>
      <c r="B6" s="49" t="s">
        <v>113</v>
      </c>
      <c r="C6" s="49" t="s">
        <v>118</v>
      </c>
      <c r="D6" s="49" t="s">
        <v>119</v>
      </c>
      <c r="E6" s="51" t="s">
        <v>115</v>
      </c>
      <c r="F6" s="51" t="s">
        <v>116</v>
      </c>
      <c r="G6" s="49">
        <v>85</v>
      </c>
      <c r="H6" s="76">
        <v>1255</v>
      </c>
      <c r="I6" s="60">
        <v>0.28194444444444444</v>
      </c>
      <c r="J6" s="60">
        <v>0.19791666666666666</v>
      </c>
    </row>
    <row r="7" spans="1:10" ht="26.25" customHeight="1" thickBot="1" x14ac:dyDescent="0.3">
      <c r="A7" s="54" t="s">
        <v>120</v>
      </c>
      <c r="B7" s="49" t="s">
        <v>118</v>
      </c>
      <c r="C7" s="49" t="s">
        <v>121</v>
      </c>
      <c r="D7" s="49" t="s">
        <v>122</v>
      </c>
      <c r="E7" s="51" t="s">
        <v>115</v>
      </c>
      <c r="F7" s="51" t="s">
        <v>116</v>
      </c>
      <c r="G7" s="49">
        <v>96</v>
      </c>
      <c r="H7" s="76">
        <v>2416</v>
      </c>
      <c r="I7" s="60">
        <v>0.37083333333333335</v>
      </c>
      <c r="J7" s="60">
        <v>0.27847222222222223</v>
      </c>
    </row>
    <row r="8" spans="1:10" ht="26.25" customHeight="1" thickBot="1" x14ac:dyDescent="0.3">
      <c r="A8" s="54" t="s">
        <v>123</v>
      </c>
      <c r="B8" s="49" t="s">
        <v>121</v>
      </c>
      <c r="C8" s="49" t="s">
        <v>124</v>
      </c>
      <c r="D8" s="49" t="s">
        <v>125</v>
      </c>
      <c r="E8" s="51" t="s">
        <v>115</v>
      </c>
      <c r="F8" s="51" t="s">
        <v>116</v>
      </c>
      <c r="G8" s="49">
        <v>92</v>
      </c>
      <c r="H8" s="76">
        <v>2359</v>
      </c>
      <c r="I8" s="60">
        <v>0.33263888888888887</v>
      </c>
      <c r="J8" s="60">
        <v>0.24861111111111112</v>
      </c>
    </row>
    <row r="9" spans="1:10" ht="26.25" customHeight="1" thickBot="1" x14ac:dyDescent="0.3">
      <c r="A9" s="54" t="s">
        <v>126</v>
      </c>
      <c r="B9" s="49" t="s">
        <v>124</v>
      </c>
      <c r="C9" s="49" t="s">
        <v>127</v>
      </c>
      <c r="D9" s="49" t="s">
        <v>128</v>
      </c>
      <c r="E9" s="49" t="s">
        <v>129</v>
      </c>
      <c r="F9" s="51" t="s">
        <v>116</v>
      </c>
      <c r="G9" s="49">
        <v>102</v>
      </c>
      <c r="H9" s="76">
        <v>2905</v>
      </c>
      <c r="I9" s="60">
        <v>0.34513888888888888</v>
      </c>
      <c r="J9" s="60">
        <v>0.28819444444444448</v>
      </c>
    </row>
    <row r="10" spans="1:10" ht="26.25" customHeight="1" thickBot="1" x14ac:dyDescent="0.3">
      <c r="A10" s="54" t="s">
        <v>130</v>
      </c>
      <c r="B10" s="49" t="s">
        <v>127</v>
      </c>
      <c r="C10" s="49" t="s">
        <v>131</v>
      </c>
      <c r="D10" s="49" t="s">
        <v>132</v>
      </c>
      <c r="E10" s="51" t="s">
        <v>115</v>
      </c>
      <c r="F10" s="51" t="s">
        <v>116</v>
      </c>
      <c r="G10" s="49">
        <v>72</v>
      </c>
      <c r="H10" s="76">
        <v>994</v>
      </c>
      <c r="I10" s="60">
        <v>0.21805555555555556</v>
      </c>
      <c r="J10" s="60">
        <v>0.16527777777777777</v>
      </c>
    </row>
    <row r="11" spans="1:10" ht="26.25" customHeight="1" x14ac:dyDescent="0.25">
      <c r="A11" s="56" t="s">
        <v>133</v>
      </c>
      <c r="B11" s="370" t="s">
        <v>131</v>
      </c>
      <c r="C11" s="370"/>
      <c r="D11" s="370" t="s">
        <v>132</v>
      </c>
      <c r="E11" s="372" t="s">
        <v>115</v>
      </c>
      <c r="F11" s="372" t="s">
        <v>116</v>
      </c>
      <c r="G11" s="370">
        <v>75</v>
      </c>
      <c r="H11" s="413">
        <v>1878</v>
      </c>
    </row>
    <row r="12" spans="1:10" ht="26.25" customHeight="1" x14ac:dyDescent="0.25">
      <c r="A12" s="93"/>
      <c r="B12" s="382"/>
      <c r="C12" s="382"/>
      <c r="D12" s="382"/>
      <c r="E12" s="383"/>
      <c r="F12" s="383"/>
      <c r="G12" s="382"/>
      <c r="H12" s="414"/>
      <c r="I12" s="60">
        <v>0.17013888888888887</v>
      </c>
      <c r="J12" s="60">
        <v>0.16944444444444443</v>
      </c>
    </row>
    <row r="13" spans="1:10" ht="26.25" customHeight="1" thickBot="1" x14ac:dyDescent="0.3">
      <c r="A13" s="94"/>
      <c r="B13" s="371"/>
      <c r="C13" s="371"/>
      <c r="D13" s="371"/>
      <c r="E13" s="373"/>
      <c r="F13" s="383"/>
      <c r="G13" s="382"/>
      <c r="H13" s="414"/>
    </row>
    <row r="14" spans="1:10" ht="26.25" customHeight="1" thickBot="1" x14ac:dyDescent="0.3">
      <c r="A14" s="56"/>
      <c r="B14" s="57"/>
      <c r="C14" s="57"/>
      <c r="D14" s="57"/>
      <c r="E14" s="59"/>
      <c r="F14" s="128" t="s">
        <v>13</v>
      </c>
      <c r="G14" s="129">
        <v>622</v>
      </c>
      <c r="H14" s="130">
        <v>14277</v>
      </c>
      <c r="I14" s="127">
        <f>I5+I6+I7+I8+I9+I10+I12</f>
        <v>2.0798611111111112</v>
      </c>
      <c r="J14" s="131">
        <f>J5+J6+J7+J8+J9+J10+J12</f>
        <v>1.5993055555555558</v>
      </c>
    </row>
    <row r="15" spans="1:10" ht="26.25" customHeight="1" thickBot="1" x14ac:dyDescent="0.3">
      <c r="D15" s="57" t="s">
        <v>147</v>
      </c>
      <c r="E15">
        <v>7</v>
      </c>
      <c r="F15" s="132" t="s">
        <v>149</v>
      </c>
      <c r="G15" s="133">
        <f>G14/$E$15</f>
        <v>88.857142857142861</v>
      </c>
      <c r="H15" s="134">
        <f>H14/$E$15</f>
        <v>2039.5714285714287</v>
      </c>
      <c r="I15" s="127">
        <f>I14/E15</f>
        <v>0.29712301587301587</v>
      </c>
      <c r="J15" s="131">
        <f>J14/E15</f>
        <v>0.22847222222222224</v>
      </c>
    </row>
  </sheetData>
  <mergeCells count="15">
    <mergeCell ref="B11:B13"/>
    <mergeCell ref="C11:C13"/>
    <mergeCell ref="D11:D13"/>
    <mergeCell ref="E11:E13"/>
    <mergeCell ref="A1:A3"/>
    <mergeCell ref="B1:B3"/>
    <mergeCell ref="C1:C3"/>
    <mergeCell ref="D1:D3"/>
    <mergeCell ref="E1:E3"/>
    <mergeCell ref="F11:F13"/>
    <mergeCell ref="G11:G13"/>
    <mergeCell ref="H11:H13"/>
    <mergeCell ref="I1:I3"/>
    <mergeCell ref="J1:J3"/>
    <mergeCell ref="F1:F3"/>
  </mergeCells>
  <hyperlinks>
    <hyperlink ref="E5" r:id="rId1" display="https://www.facebook.com/john.bertrand.370/videos/10211087358489911/" xr:uid="{BF59E496-89EA-4F03-9FEF-CE5F9DC65648}"/>
    <hyperlink ref="F5" r:id="rId2" display="https://www.strava.com/activities/740253006" xr:uid="{7B4B7E19-2173-45C6-8882-2A96C20549C4}"/>
    <hyperlink ref="E6" r:id="rId3" display="https://www.facebook.com/john.bertrand.370/videos/10211092810386205/" xr:uid="{1E2510CA-CCAF-44A4-8629-1F16C8571AE5}"/>
    <hyperlink ref="F6" r:id="rId4" display="https://www.strava.com/activities/740218540" xr:uid="{A9001BB6-DD6D-494E-A907-0BAF89245EB9}"/>
    <hyperlink ref="E7" r:id="rId5" display="https://www.facebook.com/john.bertrand.370/videos/10211110444067036/" xr:uid="{32977B38-5EE4-4F10-81B5-A184151EDD60}"/>
    <hyperlink ref="F7" r:id="rId6" display="https://www.strava.com/activities/740218674" xr:uid="{1F111DB3-F07B-4248-B0DA-3137323366FF}"/>
    <hyperlink ref="E8" r:id="rId7" display="https://www.facebook.com/john.bertrand.370/videos/10211113031091710/" xr:uid="{0EC3C06B-A668-4056-AF12-4C94C4F1AA6F}"/>
    <hyperlink ref="F8" r:id="rId8" display="https://www.strava.com/activities/740218678" xr:uid="{4F5D5659-11C1-47B6-B882-24AB39DCF129}"/>
    <hyperlink ref="F9" r:id="rId9" display="https://www.strava.com/activities/740218782" xr:uid="{61318B41-E9B1-4654-9D45-F9C2ACCBFC53}"/>
    <hyperlink ref="E10" r:id="rId10" display="https://www.facebook.com/john.bertrand.370/videos/10211137345419553/" xr:uid="{9252BB9C-DC5A-4C28-BC70-1EABA9DBD1E7}"/>
    <hyperlink ref="F10" r:id="rId11" display="https://www.strava.com/activities/740218743" xr:uid="{AA876C25-A27D-4502-8D6B-39172FC4418A}"/>
    <hyperlink ref="E11" r:id="rId12" display="https://www.facebook.com/john.bertrand.370/videos/10211177060532406/" xr:uid="{D2CE515D-A961-4C82-BC65-926E42D941EE}"/>
    <hyperlink ref="F11" r:id="rId13" display="https://www.strava.com/activities/740218870" xr:uid="{3D625CCC-A545-4B06-A26E-D424B8617C1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69F6-D128-49C2-9A00-9025E4914420}">
  <dimension ref="A1:G20"/>
  <sheetViews>
    <sheetView workbookViewId="0">
      <selection activeCell="D3" sqref="D3"/>
    </sheetView>
  </sheetViews>
  <sheetFormatPr defaultRowHeight="19.5" customHeight="1" x14ac:dyDescent="0.25"/>
  <cols>
    <col min="1" max="1" width="17" customWidth="1"/>
    <col min="2" max="2" width="11.42578125" customWidth="1"/>
    <col min="3" max="3" width="16.5703125" bestFit="1" customWidth="1"/>
    <col min="4" max="5" width="13.5703125" customWidth="1"/>
    <col min="6" max="6" width="14.42578125" bestFit="1" customWidth="1"/>
    <col min="7" max="7" width="74" customWidth="1"/>
  </cols>
  <sheetData>
    <row r="1" spans="1:7" ht="19.5" customHeight="1" thickBot="1" x14ac:dyDescent="0.3">
      <c r="A1" s="136"/>
      <c r="B1" s="137"/>
      <c r="C1" s="137"/>
      <c r="D1" s="137"/>
      <c r="E1" s="137"/>
      <c r="F1" s="137"/>
      <c r="G1" s="138"/>
    </row>
    <row r="2" spans="1:7" ht="19.5" customHeight="1" thickBot="1" x14ac:dyDescent="0.3">
      <c r="A2" s="98" t="s">
        <v>134</v>
      </c>
      <c r="B2" s="69"/>
      <c r="C2" s="69" t="s">
        <v>150</v>
      </c>
      <c r="D2" s="69" t="s">
        <v>204</v>
      </c>
      <c r="E2" s="69" t="s">
        <v>5</v>
      </c>
      <c r="F2" s="69" t="s">
        <v>33</v>
      </c>
      <c r="G2" s="143" t="s">
        <v>135</v>
      </c>
    </row>
    <row r="3" spans="1:7" ht="19.5" customHeight="1" thickBot="1" x14ac:dyDescent="0.3">
      <c r="A3" s="135">
        <v>42832</v>
      </c>
      <c r="B3" s="49">
        <v>1</v>
      </c>
      <c r="C3" s="100">
        <v>50</v>
      </c>
      <c r="D3" s="49">
        <v>1572</v>
      </c>
      <c r="E3" s="50">
        <v>0.17291666666666669</v>
      </c>
      <c r="F3" s="50">
        <v>0.1388888888888889</v>
      </c>
      <c r="G3" s="63" t="s">
        <v>136</v>
      </c>
    </row>
    <row r="4" spans="1:7" ht="19.5" customHeight="1" thickBot="1" x14ac:dyDescent="0.3">
      <c r="A4" s="135">
        <v>42833</v>
      </c>
      <c r="B4" s="49">
        <v>2</v>
      </c>
      <c r="C4" s="100">
        <v>73.125</v>
      </c>
      <c r="D4" s="49">
        <v>2463</v>
      </c>
      <c r="E4" s="50">
        <v>0.34097222222222223</v>
      </c>
      <c r="F4" s="50">
        <v>0.27291666666666664</v>
      </c>
      <c r="G4" s="63" t="s">
        <v>137</v>
      </c>
    </row>
    <row r="5" spans="1:7" ht="19.5" customHeight="1" thickBot="1" x14ac:dyDescent="0.3">
      <c r="A5" s="135">
        <v>42834</v>
      </c>
      <c r="B5" s="49">
        <v>3</v>
      </c>
      <c r="C5" s="100">
        <v>62.5</v>
      </c>
      <c r="D5" s="49">
        <v>1683</v>
      </c>
      <c r="E5" s="50">
        <v>0.21666666666666667</v>
      </c>
      <c r="F5" s="50">
        <v>0.16666666666666666</v>
      </c>
      <c r="G5" s="63" t="s">
        <v>138</v>
      </c>
    </row>
    <row r="6" spans="1:7" ht="19.5" customHeight="1" thickBot="1" x14ac:dyDescent="0.3">
      <c r="A6" s="140">
        <v>42835</v>
      </c>
      <c r="B6" s="57">
        <v>4</v>
      </c>
      <c r="C6" s="139">
        <v>31.875</v>
      </c>
      <c r="D6" s="57">
        <v>828</v>
      </c>
      <c r="E6" s="58">
        <v>0.11875000000000001</v>
      </c>
      <c r="F6" s="58">
        <v>9.0277777777777776E-2</v>
      </c>
      <c r="G6" s="141" t="s">
        <v>139</v>
      </c>
    </row>
    <row r="7" spans="1:7" ht="19.5" customHeight="1" thickBot="1" x14ac:dyDescent="0.3">
      <c r="A7" s="98"/>
      <c r="B7" s="69"/>
      <c r="C7" s="142">
        <v>217.5</v>
      </c>
      <c r="D7" s="69">
        <v>6546</v>
      </c>
      <c r="E7" s="126">
        <f>E3+E4+E5+E6</f>
        <v>0.84930555555555565</v>
      </c>
      <c r="F7" s="126">
        <f>F3+F4+F5+F6</f>
        <v>0.66874999999999996</v>
      </c>
      <c r="G7" s="143"/>
    </row>
    <row r="8" spans="1:7" ht="19.5" customHeight="1" thickBot="1" x14ac:dyDescent="0.3">
      <c r="A8" s="54"/>
      <c r="B8" s="49"/>
      <c r="C8" s="49"/>
      <c r="D8" s="49"/>
      <c r="E8" s="49"/>
      <c r="F8" s="49"/>
      <c r="G8" s="76"/>
    </row>
    <row r="9" spans="1:7" ht="19.5" customHeight="1" thickBot="1" x14ac:dyDescent="0.3">
      <c r="A9" s="56"/>
      <c r="B9" s="57"/>
      <c r="C9" s="57"/>
      <c r="D9" s="57"/>
      <c r="E9" s="57"/>
      <c r="F9" s="57"/>
      <c r="G9" s="59"/>
    </row>
    <row r="10" spans="1:7" ht="19.5" customHeight="1" thickBot="1" x14ac:dyDescent="0.3">
      <c r="A10" s="98" t="s">
        <v>140</v>
      </c>
      <c r="B10" s="69"/>
      <c r="C10" s="69" t="s">
        <v>150</v>
      </c>
      <c r="D10" s="69" t="s">
        <v>103</v>
      </c>
      <c r="E10" s="69"/>
      <c r="F10" s="69" t="s">
        <v>12</v>
      </c>
      <c r="G10" s="143" t="s">
        <v>135</v>
      </c>
    </row>
    <row r="11" spans="1:7" ht="19.5" customHeight="1" thickBot="1" x14ac:dyDescent="0.3">
      <c r="A11" s="135">
        <v>42986</v>
      </c>
      <c r="B11" s="49">
        <v>1</v>
      </c>
      <c r="C11" s="100">
        <v>73.75</v>
      </c>
      <c r="D11" s="49">
        <v>1933</v>
      </c>
      <c r="E11" s="50">
        <v>0.30694444444444441</v>
      </c>
      <c r="F11" s="50">
        <v>0.20555555555555557</v>
      </c>
      <c r="G11" s="63" t="s">
        <v>141</v>
      </c>
    </row>
    <row r="12" spans="1:7" ht="19.5" customHeight="1" thickBot="1" x14ac:dyDescent="0.3">
      <c r="A12" s="135">
        <v>42987</v>
      </c>
      <c r="B12" s="49">
        <v>2</v>
      </c>
      <c r="C12" s="100">
        <v>73.125</v>
      </c>
      <c r="D12" s="49">
        <v>2186</v>
      </c>
      <c r="E12" s="50">
        <v>0.33194444444444443</v>
      </c>
      <c r="F12" s="50">
        <v>0.24097222222222223</v>
      </c>
      <c r="G12" s="63" t="s">
        <v>142</v>
      </c>
    </row>
    <row r="13" spans="1:7" ht="19.5" customHeight="1" thickBot="1" x14ac:dyDescent="0.3">
      <c r="A13" s="135">
        <v>42988</v>
      </c>
      <c r="B13" s="49">
        <v>3</v>
      </c>
      <c r="C13" s="100">
        <v>68.75</v>
      </c>
      <c r="D13" s="49">
        <v>1669</v>
      </c>
      <c r="E13" s="50">
        <v>0.23958333333333334</v>
      </c>
      <c r="F13" s="50">
        <v>0.18055555555555555</v>
      </c>
      <c r="G13" s="63" t="s">
        <v>143</v>
      </c>
    </row>
    <row r="14" spans="1:7" ht="19.5" customHeight="1" thickBot="1" x14ac:dyDescent="0.3">
      <c r="A14" s="135">
        <v>42989</v>
      </c>
      <c r="B14" s="49">
        <v>4</v>
      </c>
      <c r="C14" s="100">
        <v>54.375</v>
      </c>
      <c r="D14" s="49">
        <v>1549</v>
      </c>
      <c r="E14" s="50">
        <v>0.22152777777777777</v>
      </c>
      <c r="F14" s="50">
        <v>0.17083333333333331</v>
      </c>
      <c r="G14" s="63" t="s">
        <v>144</v>
      </c>
    </row>
    <row r="15" spans="1:7" ht="19.5" customHeight="1" thickBot="1" x14ac:dyDescent="0.3">
      <c r="A15" s="140">
        <v>42990</v>
      </c>
      <c r="B15" s="57">
        <v>5</v>
      </c>
      <c r="C15" s="139">
        <v>65.625</v>
      </c>
      <c r="D15" s="57">
        <v>1845</v>
      </c>
      <c r="E15" s="58">
        <v>0.26458333333333334</v>
      </c>
      <c r="F15" s="58">
        <v>0.20694444444444446</v>
      </c>
      <c r="G15" s="141" t="s">
        <v>145</v>
      </c>
    </row>
    <row r="16" spans="1:7" ht="19.5" customHeight="1" thickBot="1" x14ac:dyDescent="0.3">
      <c r="A16" s="98"/>
      <c r="B16" s="69"/>
      <c r="C16" s="142">
        <v>335.625</v>
      </c>
      <c r="D16" s="69">
        <v>9182</v>
      </c>
      <c r="E16" s="126">
        <f>E11+E12+E13+E14+E15</f>
        <v>1.3645833333333335</v>
      </c>
      <c r="F16" s="126">
        <f>F11+F12+F13+F14+F15</f>
        <v>1.004861111111111</v>
      </c>
      <c r="G16" s="143"/>
    </row>
    <row r="17" spans="1:7" ht="19.5" customHeight="1" thickBot="1" x14ac:dyDescent="0.3">
      <c r="A17" s="103"/>
      <c r="B17" s="98" t="s">
        <v>146</v>
      </c>
      <c r="C17" s="142">
        <v>553.125</v>
      </c>
      <c r="D17" s="69">
        <v>15728</v>
      </c>
      <c r="E17" s="126">
        <f>E16+E7</f>
        <v>2.213888888888889</v>
      </c>
      <c r="F17" s="119">
        <f>F16+F7</f>
        <v>1.6736111111111109</v>
      </c>
      <c r="G17" s="46"/>
    </row>
    <row r="18" spans="1:7" ht="19.5" customHeight="1" thickBot="1" x14ac:dyDescent="0.3"/>
    <row r="19" spans="1:7" ht="19.5" customHeight="1" thickBot="1" x14ac:dyDescent="0.3">
      <c r="A19" t="s">
        <v>147</v>
      </c>
      <c r="B19" s="144" t="s">
        <v>149</v>
      </c>
      <c r="C19" s="142">
        <v>61.458333333333336</v>
      </c>
      <c r="D19" s="142">
        <f t="shared" ref="D19:F19" si="0">D17/$A$20</f>
        <v>1747.5555555555557</v>
      </c>
      <c r="E19" s="126">
        <f>E17/$A$20</f>
        <v>0.24598765432098768</v>
      </c>
      <c r="F19" s="119">
        <f t="shared" si="0"/>
        <v>0.18595679012345678</v>
      </c>
    </row>
    <row r="20" spans="1:7" ht="19.5" customHeight="1" x14ac:dyDescent="0.25">
      <c r="A20">
        <v>9</v>
      </c>
    </row>
  </sheetData>
  <hyperlinks>
    <hyperlink ref="G3" r:id="rId1" xr:uid="{DDAD7654-37B3-44EC-93B1-97602D286DC2}"/>
    <hyperlink ref="G4" r:id="rId2" xr:uid="{2B849604-9F50-4996-9746-D3E9BE606538}"/>
    <hyperlink ref="G5" r:id="rId3" xr:uid="{4BC904B2-1BEA-42D5-8A38-C78C9D86BB03}"/>
    <hyperlink ref="G6" r:id="rId4" xr:uid="{9AE43839-37AF-4367-A06F-AA644458E47A}"/>
    <hyperlink ref="G11" r:id="rId5" xr:uid="{B4E89905-5D3A-4278-99AC-493D636A7ECA}"/>
    <hyperlink ref="G12" r:id="rId6" xr:uid="{0E6F888E-569E-4826-AC7E-E2F48C4D6A39}"/>
    <hyperlink ref="G13" r:id="rId7" xr:uid="{03E395EE-DF59-45F4-8D4F-A6FDFE17B3A0}"/>
    <hyperlink ref="G14" r:id="rId8" xr:uid="{6EDA6721-0FA0-487B-802F-1819F548DB42}"/>
    <hyperlink ref="G15" r:id="rId9" xr:uid="{CDD1CFFD-23FC-48B2-8DFA-B4546B9F2B8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07FA-7D40-4016-AC63-F660A05061AF}">
  <dimension ref="A1:H11"/>
  <sheetViews>
    <sheetView workbookViewId="0">
      <selection activeCell="G28" sqref="G28"/>
    </sheetView>
  </sheetViews>
  <sheetFormatPr defaultRowHeight="15" x14ac:dyDescent="0.25"/>
  <cols>
    <col min="2" max="2" width="9.140625" style="146"/>
    <col min="5" max="5" width="10.28515625" customWidth="1"/>
    <col min="6" max="6" width="13.42578125" customWidth="1"/>
    <col min="7" max="7" width="53.28515625" bestFit="1" customWidth="1"/>
    <col min="8" max="8" width="49.140625" bestFit="1" customWidth="1"/>
  </cols>
  <sheetData>
    <row r="1" spans="1:8" ht="24.75" customHeight="1" x14ac:dyDescent="0.25">
      <c r="A1" s="1"/>
      <c r="B1" s="5" t="s">
        <v>2</v>
      </c>
      <c r="C1" s="5" t="s">
        <v>4</v>
      </c>
      <c r="D1" s="5" t="s">
        <v>103</v>
      </c>
      <c r="E1" s="1" t="s">
        <v>5</v>
      </c>
      <c r="F1" s="2" t="s">
        <v>33</v>
      </c>
    </row>
    <row r="2" spans="1:8" ht="15.75" thickBot="1" x14ac:dyDescent="0.3">
      <c r="A2" s="8"/>
      <c r="B2" s="12"/>
      <c r="C2" s="12" t="s">
        <v>29</v>
      </c>
      <c r="D2" s="12" t="s">
        <v>203</v>
      </c>
      <c r="E2" s="8"/>
      <c r="F2" s="9"/>
    </row>
    <row r="3" spans="1:8" x14ac:dyDescent="0.25">
      <c r="B3" s="146">
        <v>1</v>
      </c>
      <c r="C3">
        <v>97</v>
      </c>
      <c r="D3">
        <v>2365</v>
      </c>
      <c r="E3" s="60">
        <v>0.37083333333333335</v>
      </c>
      <c r="F3" s="60">
        <v>0.25277777777777777</v>
      </c>
      <c r="G3" s="147" t="s">
        <v>152</v>
      </c>
      <c r="H3" t="s">
        <v>157</v>
      </c>
    </row>
    <row r="4" spans="1:8" x14ac:dyDescent="0.25">
      <c r="B4" s="146">
        <v>2</v>
      </c>
      <c r="C4">
        <v>89</v>
      </c>
      <c r="D4">
        <v>1460</v>
      </c>
      <c r="E4" s="60">
        <v>0.26944444444444443</v>
      </c>
      <c r="F4" s="60">
        <v>0.19999999999999998</v>
      </c>
      <c r="G4" s="147" t="s">
        <v>151</v>
      </c>
      <c r="H4" t="s">
        <v>158</v>
      </c>
    </row>
    <row r="5" spans="1:8" x14ac:dyDescent="0.25">
      <c r="B5" s="146">
        <v>3</v>
      </c>
      <c r="C5">
        <v>59</v>
      </c>
      <c r="D5">
        <v>1803</v>
      </c>
      <c r="E5" s="60">
        <v>0.23333333333333331</v>
      </c>
      <c r="F5" s="60">
        <v>0.16597222222222222</v>
      </c>
      <c r="G5" s="147" t="s">
        <v>153</v>
      </c>
      <c r="H5" t="s">
        <v>159</v>
      </c>
    </row>
    <row r="6" spans="1:8" x14ac:dyDescent="0.25">
      <c r="B6" s="146">
        <v>4</v>
      </c>
      <c r="C6">
        <v>80</v>
      </c>
      <c r="D6">
        <v>1987</v>
      </c>
      <c r="E6" s="60">
        <v>0.28055555555555556</v>
      </c>
      <c r="F6" s="60">
        <v>0.2076388888888889</v>
      </c>
      <c r="G6" s="147" t="s">
        <v>155</v>
      </c>
      <c r="H6" t="s">
        <v>160</v>
      </c>
    </row>
    <row r="7" spans="1:8" x14ac:dyDescent="0.25">
      <c r="B7" s="146">
        <v>5</v>
      </c>
      <c r="C7">
        <v>60</v>
      </c>
      <c r="D7">
        <v>1324</v>
      </c>
      <c r="E7" s="60">
        <v>0.27083333333333331</v>
      </c>
      <c r="F7" s="60">
        <v>0.15416666666666667</v>
      </c>
      <c r="G7" s="147" t="s">
        <v>154</v>
      </c>
      <c r="H7" t="s">
        <v>162</v>
      </c>
    </row>
    <row r="8" spans="1:8" ht="15.75" thickBot="1" x14ac:dyDescent="0.3">
      <c r="B8" s="146">
        <v>6</v>
      </c>
      <c r="C8">
        <v>61</v>
      </c>
      <c r="D8">
        <v>1532</v>
      </c>
      <c r="E8" s="60">
        <v>0.24374999999999999</v>
      </c>
      <c r="F8" s="60">
        <v>0.17916666666666667</v>
      </c>
      <c r="G8" s="147" t="s">
        <v>156</v>
      </c>
      <c r="H8" t="s">
        <v>161</v>
      </c>
    </row>
    <row r="9" spans="1:8" ht="18" thickBot="1" x14ac:dyDescent="0.3">
      <c r="B9" s="148" t="s">
        <v>163</v>
      </c>
      <c r="C9" s="149">
        <f>SUM(C3:C8)</f>
        <v>446</v>
      </c>
      <c r="D9" s="149">
        <f t="shared" ref="D9:F9" si="0">SUM(D3:D8)</f>
        <v>10471</v>
      </c>
      <c r="E9" s="150">
        <f>SUM(E3:E8)</f>
        <v>1.6687499999999997</v>
      </c>
      <c r="F9" s="151">
        <f t="shared" si="0"/>
        <v>1.1597222222222221</v>
      </c>
    </row>
    <row r="10" spans="1:8" ht="18" thickBot="1" x14ac:dyDescent="0.3">
      <c r="A10" t="s">
        <v>147</v>
      </c>
      <c r="B10" s="152" t="s">
        <v>15</v>
      </c>
      <c r="C10" s="145">
        <f>C9/$A$11</f>
        <v>74.333333333333329</v>
      </c>
      <c r="D10" s="145">
        <f t="shared" ref="D10:F10" si="1">D9/$A$11</f>
        <v>1745.1666666666667</v>
      </c>
      <c r="E10" s="126">
        <f t="shared" si="1"/>
        <v>0.27812499999999996</v>
      </c>
      <c r="F10" s="119">
        <f t="shared" si="1"/>
        <v>0.19328703703703701</v>
      </c>
    </row>
    <row r="11" spans="1:8" x14ac:dyDescent="0.25">
      <c r="A11">
        <v>6</v>
      </c>
    </row>
  </sheetData>
  <hyperlinks>
    <hyperlink ref="G4" r:id="rId1" xr:uid="{7B89B6AC-AF4F-4DD5-8789-F8AEB2934E8E}"/>
    <hyperlink ref="G3" r:id="rId2" xr:uid="{471AEE22-CEA4-47D3-A8E6-F92CFAF45A1E}"/>
    <hyperlink ref="G5" r:id="rId3" xr:uid="{E30FD2D9-2A5A-4F19-A2C4-41D5588E0460}"/>
    <hyperlink ref="G7" r:id="rId4" xr:uid="{585B8471-386E-4DC3-8BC3-079706A28E68}"/>
    <hyperlink ref="G6" r:id="rId5" xr:uid="{1B613720-1621-4C84-B6BB-6BCA9100A807}"/>
    <hyperlink ref="G8" r:id="rId6" xr:uid="{FCB9191C-08E2-4197-A9B5-F05D6A892F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E06A0-44AA-4293-AA75-CCD3B5A0C69D}">
  <dimension ref="A1:AC18"/>
  <sheetViews>
    <sheetView topLeftCell="C1" workbookViewId="0">
      <selection activeCell="L27" sqref="L27"/>
    </sheetView>
  </sheetViews>
  <sheetFormatPr defaultColWidth="12.5703125" defaultRowHeight="15.75" x14ac:dyDescent="0.25"/>
  <cols>
    <col min="1" max="1" width="19" style="217" customWidth="1"/>
    <col min="2" max="2" width="18.5703125" style="217" customWidth="1"/>
    <col min="3" max="3" width="8.28515625" style="217" customWidth="1"/>
    <col min="4" max="4" width="10.85546875" style="217" customWidth="1"/>
    <col min="5" max="5" width="11.85546875" style="217" bestFit="1" customWidth="1"/>
    <col min="6" max="6" width="13.7109375" style="217" customWidth="1"/>
    <col min="7" max="7" width="19.5703125" style="217" customWidth="1"/>
    <col min="8" max="8" width="10.42578125" style="217" customWidth="1"/>
    <col min="9" max="9" width="13.5703125" style="217" customWidth="1"/>
    <col min="10" max="10" width="10.7109375" style="217" customWidth="1"/>
    <col min="11" max="11" width="21.85546875" style="217" customWidth="1"/>
    <col min="12" max="12" width="17.140625" style="217" customWidth="1"/>
    <col min="13" max="13" width="13.28515625" style="217" customWidth="1"/>
    <col min="14" max="16" width="10.140625" style="217" customWidth="1"/>
    <col min="17" max="21" width="21.85546875" style="217" customWidth="1"/>
    <col min="22" max="27" width="12.5703125" style="217"/>
    <col min="28" max="28" width="15" style="217" customWidth="1"/>
    <col min="29" max="16384" width="12.5703125" style="217"/>
  </cols>
  <sheetData>
    <row r="1" spans="1:29" s="207" customFormat="1" ht="47.25" customHeight="1" thickBot="1" x14ac:dyDescent="0.3">
      <c r="A1" s="205" t="s">
        <v>209</v>
      </c>
      <c r="B1" s="205" t="s">
        <v>210</v>
      </c>
      <c r="C1" s="205" t="s">
        <v>2</v>
      </c>
      <c r="D1" s="205"/>
      <c r="E1" s="205"/>
      <c r="F1" s="205" t="s">
        <v>211</v>
      </c>
      <c r="G1" s="205" t="s">
        <v>212</v>
      </c>
      <c r="H1" s="416" t="s">
        <v>213</v>
      </c>
      <c r="I1" s="416"/>
      <c r="J1" s="416"/>
      <c r="K1" s="206" t="s">
        <v>214</v>
      </c>
      <c r="L1" s="205" t="s">
        <v>215</v>
      </c>
      <c r="M1" s="207" t="s">
        <v>216</v>
      </c>
      <c r="Q1" s="207" t="s">
        <v>106</v>
      </c>
      <c r="R1" s="208" t="s">
        <v>217</v>
      </c>
      <c r="S1" s="209" t="s">
        <v>218</v>
      </c>
      <c r="T1" s="210" t="s">
        <v>219</v>
      </c>
      <c r="V1" s="417" t="s">
        <v>220</v>
      </c>
      <c r="W1" s="418"/>
      <c r="X1" s="417" t="s">
        <v>221</v>
      </c>
      <c r="Y1" s="418"/>
      <c r="Z1" s="417" t="s">
        <v>222</v>
      </c>
      <c r="AA1" s="418"/>
      <c r="AB1" s="417" t="s">
        <v>223</v>
      </c>
      <c r="AC1" s="418"/>
    </row>
    <row r="2" spans="1:29" ht="47.25" x14ac:dyDescent="0.25">
      <c r="A2" s="211" t="s">
        <v>224</v>
      </c>
      <c r="B2" s="212" t="s">
        <v>225</v>
      </c>
      <c r="C2" s="213">
        <v>0</v>
      </c>
      <c r="D2" s="214" t="s">
        <v>226</v>
      </c>
      <c r="E2" s="215">
        <v>44450</v>
      </c>
      <c r="F2" s="216"/>
      <c r="G2" s="216"/>
      <c r="H2" s="207" t="s">
        <v>227</v>
      </c>
      <c r="I2" s="207" t="s">
        <v>228</v>
      </c>
      <c r="J2" s="207" t="s">
        <v>229</v>
      </c>
      <c r="L2" s="212" t="s">
        <v>230</v>
      </c>
      <c r="M2" s="207" t="s">
        <v>227</v>
      </c>
      <c r="N2" s="207" t="s">
        <v>228</v>
      </c>
      <c r="O2" s="207" t="s">
        <v>231</v>
      </c>
      <c r="P2" s="207" t="s">
        <v>232</v>
      </c>
      <c r="Q2" s="212"/>
      <c r="R2" s="218" t="s">
        <v>233</v>
      </c>
      <c r="S2" s="219" t="s">
        <v>234</v>
      </c>
      <c r="T2" s="220" t="s">
        <v>233</v>
      </c>
      <c r="U2" s="212"/>
      <c r="V2" s="221"/>
      <c r="W2" s="222"/>
      <c r="X2" s="221"/>
      <c r="Y2" s="222"/>
      <c r="Z2" s="221"/>
      <c r="AA2" s="222"/>
      <c r="AB2" s="221"/>
      <c r="AC2" s="222"/>
    </row>
    <row r="3" spans="1:29" ht="47.25" x14ac:dyDescent="0.25">
      <c r="A3" s="223" t="s">
        <v>225</v>
      </c>
      <c r="B3" s="224" t="s">
        <v>225</v>
      </c>
      <c r="C3" s="225">
        <v>1</v>
      </c>
      <c r="D3" s="225" t="s">
        <v>235</v>
      </c>
      <c r="E3" s="226">
        <v>44451</v>
      </c>
      <c r="F3" s="227" t="s">
        <v>236</v>
      </c>
      <c r="G3" s="228" t="s">
        <v>237</v>
      </c>
      <c r="H3" s="229">
        <v>137.41999999999999</v>
      </c>
      <c r="I3" s="229">
        <v>3213</v>
      </c>
      <c r="J3" s="230">
        <v>0.26027777777777777</v>
      </c>
      <c r="K3" s="231" t="s">
        <v>238</v>
      </c>
      <c r="L3" s="212" t="s">
        <v>230</v>
      </c>
      <c r="M3" s="229">
        <v>138</v>
      </c>
      <c r="N3" s="229">
        <v>3119</v>
      </c>
      <c r="O3" s="232">
        <v>0.26458333333333334</v>
      </c>
      <c r="P3" s="232">
        <v>0.33611111111111108</v>
      </c>
      <c r="Q3" s="233" t="s">
        <v>239</v>
      </c>
      <c r="R3" s="218" t="s">
        <v>240</v>
      </c>
      <c r="S3" s="219" t="s">
        <v>241</v>
      </c>
      <c r="T3" s="220" t="s">
        <v>240</v>
      </c>
      <c r="U3" s="212"/>
      <c r="V3" s="234" t="s">
        <v>4</v>
      </c>
      <c r="W3" s="222" t="s">
        <v>242</v>
      </c>
      <c r="X3" s="221" t="s">
        <v>4</v>
      </c>
      <c r="Y3" s="222" t="s">
        <v>242</v>
      </c>
      <c r="Z3" s="221" t="s">
        <v>4</v>
      </c>
      <c r="AA3" s="222" t="s">
        <v>242</v>
      </c>
      <c r="AB3" s="221" t="s">
        <v>4</v>
      </c>
      <c r="AC3" s="222" t="s">
        <v>242</v>
      </c>
    </row>
    <row r="4" spans="1:29" ht="63" x14ac:dyDescent="0.25">
      <c r="A4" s="235" t="s">
        <v>225</v>
      </c>
      <c r="B4" s="236" t="s">
        <v>225</v>
      </c>
      <c r="C4" s="237">
        <v>2</v>
      </c>
      <c r="D4" s="237" t="s">
        <v>243</v>
      </c>
      <c r="E4" s="238">
        <v>44452</v>
      </c>
      <c r="F4" s="239" t="s">
        <v>244</v>
      </c>
      <c r="G4" s="240" t="s">
        <v>245</v>
      </c>
      <c r="H4" s="229">
        <v>78.239999999999995</v>
      </c>
      <c r="I4" s="229">
        <v>2128</v>
      </c>
      <c r="J4" s="230">
        <v>0.15524305555555554</v>
      </c>
      <c r="K4" s="231" t="s">
        <v>246</v>
      </c>
      <c r="L4" s="212" t="s">
        <v>247</v>
      </c>
      <c r="M4" s="229">
        <v>79</v>
      </c>
      <c r="N4" s="229">
        <v>2187</v>
      </c>
      <c r="O4" s="232">
        <v>0.16805555555555554</v>
      </c>
      <c r="P4" s="232">
        <v>0.26597222222222222</v>
      </c>
      <c r="Q4" s="233" t="s">
        <v>248</v>
      </c>
      <c r="R4" s="218" t="s">
        <v>249</v>
      </c>
      <c r="S4" s="219" t="s">
        <v>249</v>
      </c>
      <c r="T4" s="220" t="s">
        <v>249</v>
      </c>
      <c r="U4" s="212"/>
      <c r="V4" s="234"/>
      <c r="W4" s="241"/>
      <c r="X4" s="234"/>
      <c r="Y4" s="241"/>
      <c r="Z4" s="234"/>
      <c r="AA4" s="241"/>
      <c r="AB4" s="234"/>
      <c r="AC4" s="241"/>
    </row>
    <row r="5" spans="1:29" ht="78.75" x14ac:dyDescent="0.25">
      <c r="A5" s="242" t="s">
        <v>247</v>
      </c>
      <c r="B5" s="243" t="s">
        <v>247</v>
      </c>
      <c r="C5" s="225">
        <v>3</v>
      </c>
      <c r="D5" s="225" t="s">
        <v>250</v>
      </c>
      <c r="E5" s="226">
        <v>44453</v>
      </c>
      <c r="F5" s="244" t="s">
        <v>251</v>
      </c>
      <c r="G5" s="245" t="s">
        <v>252</v>
      </c>
      <c r="H5" s="229">
        <v>83.38</v>
      </c>
      <c r="I5" s="229">
        <v>1119</v>
      </c>
      <c r="J5" s="230">
        <v>0.16543981481481482</v>
      </c>
      <c r="K5" s="231" t="s">
        <v>253</v>
      </c>
      <c r="L5" s="246" t="s">
        <v>254</v>
      </c>
      <c r="M5" s="229">
        <v>85</v>
      </c>
      <c r="N5" s="229">
        <v>1200</v>
      </c>
      <c r="O5" s="232">
        <v>0.1361111111111111</v>
      </c>
      <c r="P5" s="232">
        <v>0.21111111111111111</v>
      </c>
      <c r="Q5" s="233" t="s">
        <v>255</v>
      </c>
      <c r="R5" s="218" t="s">
        <v>256</v>
      </c>
      <c r="S5" s="219" t="s">
        <v>257</v>
      </c>
      <c r="T5" s="220" t="s">
        <v>258</v>
      </c>
      <c r="U5" s="246"/>
      <c r="V5" s="234"/>
      <c r="W5" s="241"/>
      <c r="X5" s="234"/>
      <c r="Y5" s="241"/>
      <c r="Z5" s="234"/>
      <c r="AA5" s="241"/>
      <c r="AB5" s="234"/>
      <c r="AC5" s="241"/>
    </row>
    <row r="6" spans="1:29" ht="63" x14ac:dyDescent="0.25">
      <c r="A6" s="235" t="s">
        <v>259</v>
      </c>
      <c r="B6" s="236" t="s">
        <v>259</v>
      </c>
      <c r="C6" s="237">
        <v>4</v>
      </c>
      <c r="D6" s="237" t="s">
        <v>260</v>
      </c>
      <c r="E6" s="238">
        <v>44454</v>
      </c>
      <c r="F6" s="247" t="s">
        <v>261</v>
      </c>
      <c r="G6" s="240" t="s">
        <v>262</v>
      </c>
      <c r="H6" s="229">
        <v>105.84</v>
      </c>
      <c r="I6" s="229">
        <v>2711</v>
      </c>
      <c r="J6" s="230">
        <v>0.21001157407407409</v>
      </c>
      <c r="K6" s="231" t="s">
        <v>263</v>
      </c>
      <c r="L6" s="246" t="s">
        <v>254</v>
      </c>
      <c r="M6" s="229">
        <v>123</v>
      </c>
      <c r="N6" s="229">
        <v>2717</v>
      </c>
      <c r="O6" s="232">
        <v>0.23611111111111113</v>
      </c>
      <c r="P6" s="232">
        <v>0.31388888888888888</v>
      </c>
      <c r="Q6" s="233" t="s">
        <v>264</v>
      </c>
      <c r="R6" s="218" t="s">
        <v>265</v>
      </c>
      <c r="S6" s="219" t="s">
        <v>266</v>
      </c>
      <c r="T6" s="220" t="s">
        <v>267</v>
      </c>
      <c r="U6" s="246"/>
      <c r="V6" s="234"/>
      <c r="W6" s="241"/>
      <c r="X6" s="234"/>
      <c r="Y6" s="241"/>
      <c r="Z6" s="234"/>
      <c r="AA6" s="241"/>
      <c r="AB6" s="234"/>
      <c r="AC6" s="241"/>
    </row>
    <row r="7" spans="1:29" ht="47.25" x14ac:dyDescent="0.25">
      <c r="A7" s="223" t="s">
        <v>268</v>
      </c>
      <c r="B7" s="224" t="s">
        <v>268</v>
      </c>
      <c r="C7" s="225">
        <v>5</v>
      </c>
      <c r="D7" s="225" t="s">
        <v>269</v>
      </c>
      <c r="E7" s="226">
        <v>44455</v>
      </c>
      <c r="F7" s="227" t="s">
        <v>270</v>
      </c>
      <c r="G7" s="228" t="s">
        <v>271</v>
      </c>
      <c r="H7" s="248">
        <v>123.12</v>
      </c>
      <c r="I7" s="248">
        <v>2928</v>
      </c>
      <c r="J7" s="249">
        <v>0.24429398148148149</v>
      </c>
      <c r="K7" s="250" t="s">
        <v>272</v>
      </c>
      <c r="L7" s="246" t="s">
        <v>268</v>
      </c>
      <c r="M7" s="229" t="s">
        <v>273</v>
      </c>
      <c r="N7" s="229"/>
      <c r="O7" s="251"/>
      <c r="P7" s="251"/>
      <c r="Q7" s="233"/>
      <c r="R7" s="218" t="s">
        <v>274</v>
      </c>
      <c r="S7" s="219" t="s">
        <v>274</v>
      </c>
      <c r="T7" s="220" t="s">
        <v>274</v>
      </c>
      <c r="U7" s="246"/>
      <c r="V7" s="234"/>
      <c r="W7" s="241"/>
      <c r="X7" s="234"/>
      <c r="Y7" s="241"/>
      <c r="Z7" s="234"/>
      <c r="AA7" s="241"/>
      <c r="AB7" s="234"/>
      <c r="AC7" s="241"/>
    </row>
    <row r="8" spans="1:29" ht="63" x14ac:dyDescent="0.25">
      <c r="A8" s="252" t="s">
        <v>268</v>
      </c>
      <c r="B8" s="253" t="s">
        <v>275</v>
      </c>
      <c r="C8" s="237">
        <v>6</v>
      </c>
      <c r="D8" s="237" t="s">
        <v>276</v>
      </c>
      <c r="E8" s="238">
        <v>44456</v>
      </c>
      <c r="F8" s="247" t="s">
        <v>236</v>
      </c>
      <c r="G8" s="254" t="s">
        <v>277</v>
      </c>
      <c r="H8" s="229">
        <v>111.43</v>
      </c>
      <c r="I8" s="229">
        <v>2706</v>
      </c>
      <c r="J8" s="230">
        <v>0.22108796296296296</v>
      </c>
      <c r="K8" s="231" t="s">
        <v>278</v>
      </c>
      <c r="L8" s="246" t="s">
        <v>279</v>
      </c>
      <c r="M8" s="248">
        <v>131</v>
      </c>
      <c r="N8" s="248">
        <v>2954</v>
      </c>
      <c r="O8" s="255">
        <v>0.25277777777777777</v>
      </c>
      <c r="P8" s="255">
        <v>0.3444444444444445</v>
      </c>
      <c r="Q8" s="233" t="s">
        <v>280</v>
      </c>
      <c r="R8" s="218" t="s">
        <v>281</v>
      </c>
      <c r="T8" s="220" t="s">
        <v>281</v>
      </c>
      <c r="U8" s="246"/>
      <c r="V8" s="234"/>
      <c r="W8" s="241"/>
      <c r="X8" s="234"/>
      <c r="Y8" s="241"/>
      <c r="Z8" s="234"/>
      <c r="AA8" s="241"/>
      <c r="AB8" s="234"/>
      <c r="AC8" s="241"/>
    </row>
    <row r="9" spans="1:29" ht="16.5" thickBot="1" x14ac:dyDescent="0.3">
      <c r="A9" s="242" t="s">
        <v>279</v>
      </c>
      <c r="B9" s="243" t="s">
        <v>279</v>
      </c>
      <c r="C9" s="225">
        <v>7</v>
      </c>
      <c r="D9" s="225" t="s">
        <v>226</v>
      </c>
      <c r="E9" s="226">
        <v>44457</v>
      </c>
      <c r="F9" s="227" t="s">
        <v>282</v>
      </c>
      <c r="G9" s="228" t="s">
        <v>283</v>
      </c>
      <c r="H9" s="229">
        <v>102.45</v>
      </c>
      <c r="I9" s="229">
        <v>1361</v>
      </c>
      <c r="J9" s="230">
        <v>0.20327546296296295</v>
      </c>
      <c r="K9" s="231" t="s">
        <v>284</v>
      </c>
      <c r="M9" s="229" t="s">
        <v>285</v>
      </c>
      <c r="N9" s="229"/>
      <c r="O9" s="251"/>
      <c r="P9" s="251"/>
      <c r="R9" s="256"/>
      <c r="S9" s="257"/>
      <c r="T9" s="258"/>
      <c r="V9" s="234"/>
      <c r="W9" s="241"/>
      <c r="X9" s="234"/>
      <c r="Y9" s="241"/>
      <c r="Z9" s="234"/>
      <c r="AA9" s="241"/>
      <c r="AB9" s="234"/>
      <c r="AC9" s="241"/>
    </row>
    <row r="10" spans="1:29" x14ac:dyDescent="0.25">
      <c r="A10" s="252" t="s">
        <v>286</v>
      </c>
      <c r="B10" s="253" t="s">
        <v>287</v>
      </c>
      <c r="C10" s="237">
        <v>7</v>
      </c>
      <c r="D10" s="237" t="s">
        <v>226</v>
      </c>
      <c r="E10" s="238">
        <v>44457</v>
      </c>
      <c r="F10" s="247"/>
      <c r="G10" s="254"/>
      <c r="H10" s="229"/>
      <c r="I10" s="229"/>
      <c r="J10" s="230"/>
      <c r="K10" s="259"/>
      <c r="L10" s="260"/>
      <c r="M10" s="229"/>
      <c r="N10" s="229"/>
      <c r="O10" s="251"/>
      <c r="P10" s="251"/>
      <c r="Q10" s="260"/>
      <c r="R10" s="260"/>
      <c r="S10" s="260"/>
      <c r="T10" s="260"/>
      <c r="U10" s="260"/>
      <c r="V10" s="234"/>
      <c r="W10" s="241"/>
      <c r="X10" s="234"/>
      <c r="Y10" s="241"/>
      <c r="Z10" s="234"/>
      <c r="AA10" s="241"/>
      <c r="AB10" s="234"/>
      <c r="AC10" s="241"/>
    </row>
    <row r="11" spans="1:29" x14ac:dyDescent="0.25">
      <c r="E11" s="215"/>
      <c r="F11" s="216"/>
      <c r="G11" s="261"/>
      <c r="J11" s="262"/>
      <c r="K11" s="262"/>
      <c r="L11" s="262"/>
      <c r="Q11" s="262"/>
      <c r="R11" s="262"/>
      <c r="S11" s="262"/>
      <c r="T11" s="262"/>
      <c r="U11" s="262"/>
      <c r="V11" s="234"/>
      <c r="W11" s="241"/>
      <c r="X11" s="234"/>
      <c r="Y11" s="241"/>
      <c r="Z11" s="234"/>
      <c r="AA11" s="241"/>
      <c r="AB11" s="234"/>
      <c r="AC11" s="241"/>
    </row>
    <row r="12" spans="1:29" x14ac:dyDescent="0.25">
      <c r="E12" s="215"/>
      <c r="F12" s="216"/>
      <c r="G12" s="261"/>
      <c r="J12" s="262"/>
      <c r="K12" s="262"/>
      <c r="Q12" s="263"/>
      <c r="R12" s="263"/>
      <c r="S12" s="263"/>
      <c r="T12" s="263"/>
      <c r="U12" s="263" t="s">
        <v>147</v>
      </c>
      <c r="V12" s="234">
        <v>7</v>
      </c>
      <c r="W12" s="241"/>
      <c r="X12" s="234">
        <v>6</v>
      </c>
      <c r="Y12" s="241"/>
      <c r="Z12" s="234">
        <v>7</v>
      </c>
      <c r="AA12" s="241"/>
      <c r="AB12" s="234">
        <v>5</v>
      </c>
      <c r="AC12" s="241"/>
    </row>
    <row r="13" spans="1:29" x14ac:dyDescent="0.25">
      <c r="F13" s="264"/>
      <c r="G13" s="217" t="s">
        <v>52</v>
      </c>
      <c r="H13" s="265">
        <f>SUM(H3:H12)</f>
        <v>741.88000000000011</v>
      </c>
      <c r="I13" s="265">
        <f>SUM(I3:I12)</f>
        <v>16166</v>
      </c>
      <c r="J13" s="266">
        <v>1.4596296296296296</v>
      </c>
      <c r="K13" s="267"/>
      <c r="L13" s="217" t="s">
        <v>52</v>
      </c>
      <c r="M13" s="265">
        <f>SUM(M3:M12)</f>
        <v>556</v>
      </c>
      <c r="N13" s="265">
        <f>SUM(N3:N12)</f>
        <v>12177</v>
      </c>
      <c r="O13" s="268" t="s">
        <v>288</v>
      </c>
      <c r="P13" s="268" t="s">
        <v>289</v>
      </c>
      <c r="Q13" s="269" t="s">
        <v>290</v>
      </c>
      <c r="R13" s="269"/>
      <c r="S13" s="269"/>
      <c r="T13" s="269"/>
      <c r="U13" s="269" t="s">
        <v>291</v>
      </c>
      <c r="V13" s="270">
        <v>910</v>
      </c>
      <c r="W13" s="271">
        <v>22242</v>
      </c>
      <c r="X13" s="270">
        <v>845</v>
      </c>
      <c r="Y13" s="271">
        <v>19274</v>
      </c>
      <c r="Z13" s="270">
        <v>1001</v>
      </c>
      <c r="AA13" s="271">
        <v>14277</v>
      </c>
      <c r="AB13" s="270">
        <v>720</v>
      </c>
      <c r="AC13" s="271">
        <v>11000</v>
      </c>
    </row>
    <row r="14" spans="1:29" ht="16.5" thickBot="1" x14ac:dyDescent="0.3">
      <c r="G14" s="217" t="s">
        <v>292</v>
      </c>
      <c r="H14" s="272">
        <f>H13/C9</f>
        <v>105.98285714285716</v>
      </c>
      <c r="I14" s="272">
        <f>I13/C8</f>
        <v>2694.3333333333335</v>
      </c>
      <c r="J14" s="272"/>
      <c r="K14" s="272"/>
      <c r="L14" s="217" t="s">
        <v>292</v>
      </c>
      <c r="M14" s="272">
        <f>M13/5</f>
        <v>111.2</v>
      </c>
      <c r="N14" s="272">
        <f>N13/5</f>
        <v>2435.4</v>
      </c>
      <c r="O14" s="272"/>
      <c r="P14" s="272"/>
      <c r="Q14" s="273"/>
      <c r="R14" s="273"/>
      <c r="S14" s="273"/>
      <c r="T14" s="273"/>
      <c r="U14" s="273" t="s">
        <v>293</v>
      </c>
      <c r="V14" s="274">
        <f>V13/V12</f>
        <v>130</v>
      </c>
      <c r="W14" s="275">
        <f>W13/V12</f>
        <v>3177.4285714285716</v>
      </c>
      <c r="X14" s="274">
        <f>X13/X12</f>
        <v>140.83333333333334</v>
      </c>
      <c r="Y14" s="275">
        <f>Y13/X12</f>
        <v>3212.3333333333335</v>
      </c>
      <c r="Z14" s="274">
        <f>Z13/Z12</f>
        <v>143</v>
      </c>
      <c r="AA14" s="275">
        <f>AA13/Z12</f>
        <v>2039.5714285714287</v>
      </c>
      <c r="AB14" s="256">
        <f>AB13/AB12</f>
        <v>144</v>
      </c>
      <c r="AC14" s="258">
        <f>AC13/AB12</f>
        <v>2200</v>
      </c>
    </row>
    <row r="15" spans="1:29" x14ac:dyDescent="0.25">
      <c r="F15" s="216"/>
      <c r="G15" s="216"/>
    </row>
    <row r="16" spans="1:29" x14ac:dyDescent="0.25">
      <c r="U16" s="217" t="s">
        <v>294</v>
      </c>
      <c r="V16" s="272">
        <f>W13/V13</f>
        <v>24.44175824175824</v>
      </c>
      <c r="X16" s="272">
        <f>Y13/X13</f>
        <v>22.809467455621302</v>
      </c>
      <c r="Z16" s="272">
        <f>AA13/Z13</f>
        <v>14.262737262737263</v>
      </c>
      <c r="AB16" s="272">
        <f>AC13/AB13</f>
        <v>15.277777777777779</v>
      </c>
    </row>
    <row r="18" spans="13:14" x14ac:dyDescent="0.25">
      <c r="M18" s="217" t="s">
        <v>294</v>
      </c>
      <c r="N18" s="272">
        <f>N13/M13</f>
        <v>21.901079136690647</v>
      </c>
    </row>
  </sheetData>
  <mergeCells count="5">
    <mergeCell ref="H1:J1"/>
    <mergeCell ref="V1:W1"/>
    <mergeCell ref="X1:Y1"/>
    <mergeCell ref="Z1:AA1"/>
    <mergeCell ref="AB1:AC1"/>
  </mergeCells>
  <hyperlinks>
    <hyperlink ref="G3" r:id="rId1" xr:uid="{DF50790C-5E12-44DF-A83D-8EA689177DA0}"/>
    <hyperlink ref="G4" r:id="rId2" xr:uid="{5FDD64C4-2478-4AAF-8A20-D5A4D332520A}"/>
    <hyperlink ref="G5" r:id="rId3" xr:uid="{89490729-7F73-415F-BBDA-933C942C982A}"/>
    <hyperlink ref="G6" r:id="rId4" xr:uid="{E8DCA637-DF8D-4434-89FC-9B29725B8B84}"/>
    <hyperlink ref="G7" r:id="rId5" xr:uid="{8F468620-95F2-47F1-962B-A20F5A14090C}"/>
    <hyperlink ref="G8" r:id="rId6" xr:uid="{E1A75941-3DD3-435A-9119-CF1E068FE3E5}"/>
    <hyperlink ref="G9" r:id="rId7" xr:uid="{73961108-C519-4783-BA0A-75C8578DEAA1}"/>
    <hyperlink ref="Q3" r:id="rId8" xr:uid="{CB54D838-1CC3-47D3-ACA6-94B8979CFC60}"/>
    <hyperlink ref="Q4" r:id="rId9" xr:uid="{1A10F827-77C2-4069-9E6D-F3747B49AECD}"/>
    <hyperlink ref="Q5" r:id="rId10" xr:uid="{971442D3-A8C4-4AB1-9762-9797D104F46C}"/>
    <hyperlink ref="Q6" r:id="rId11" xr:uid="{6D1F3171-8752-48D3-B144-9E29DB65B52E}"/>
    <hyperlink ref="Q8" r:id="rId12" xr:uid="{FB39AF74-D566-413B-8F33-1FE6CD17CD8C}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2012 - N2G</vt:lpstr>
      <vt:lpstr>2013-Raid</vt:lpstr>
      <vt:lpstr>2014 - Dolomiti</vt:lpstr>
      <vt:lpstr>2015-ToGC</vt:lpstr>
      <vt:lpstr>2016- G2R</vt:lpstr>
      <vt:lpstr>2017- Mal &amp; Corsica </vt:lpstr>
      <vt:lpstr>2019- ToC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Rick Perkins</cp:lastModifiedBy>
  <cp:lastPrinted>2012-09-24T09:58:27Z</cp:lastPrinted>
  <dcterms:created xsi:type="dcterms:W3CDTF">2011-06-01T13:25:52Z</dcterms:created>
  <dcterms:modified xsi:type="dcterms:W3CDTF">2022-09-05T17:16:59Z</dcterms:modified>
</cp:coreProperties>
</file>